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  <sheet name="платно" sheetId="2" r:id="rId2"/>
  </sheets>
  <calcPr calcId="144525"/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J23" i="2"/>
  <c r="I23" i="2"/>
  <c r="H23" i="2"/>
  <c r="G23" i="2"/>
  <c r="J22" i="2"/>
  <c r="I22" i="2"/>
  <c r="H22" i="2"/>
  <c r="G22" i="2"/>
  <c r="J21" i="2"/>
  <c r="I21" i="2"/>
  <c r="H21" i="2"/>
  <c r="G21" i="2"/>
  <c r="F21" i="2"/>
  <c r="J20" i="2"/>
  <c r="I20" i="2"/>
  <c r="H20" i="2"/>
  <c r="G20" i="2"/>
  <c r="F20" i="2"/>
  <c r="J19" i="2"/>
  <c r="J25" i="2" s="1"/>
  <c r="I19" i="2"/>
  <c r="I25" i="2" s="1"/>
  <c r="H19" i="2"/>
  <c r="H25" i="2" s="1"/>
  <c r="G19" i="2"/>
  <c r="G25" i="2" s="1"/>
  <c r="F19" i="2"/>
  <c r="F25" i="2" s="1"/>
  <c r="J18" i="2"/>
  <c r="I18" i="2"/>
  <c r="H18" i="2"/>
  <c r="G18" i="2"/>
  <c r="F18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J13" i="2"/>
  <c r="I13" i="2"/>
  <c r="H13" i="2"/>
  <c r="G13" i="2"/>
  <c r="F13" i="2"/>
  <c r="J12" i="2"/>
  <c r="J17" i="2" s="1"/>
  <c r="I12" i="2"/>
  <c r="H12" i="2"/>
  <c r="H17" i="2" s="1"/>
  <c r="G12" i="2"/>
  <c r="F12" i="2"/>
  <c r="F17" i="2" s="1"/>
  <c r="J11" i="2"/>
  <c r="I11" i="2"/>
  <c r="I17" i="2" s="1"/>
  <c r="H11" i="2"/>
  <c r="G11" i="2"/>
  <c r="G17" i="2" s="1"/>
  <c r="F11" i="2"/>
  <c r="J9" i="2"/>
  <c r="I9" i="2"/>
  <c r="H9" i="2"/>
  <c r="G9" i="2"/>
  <c r="J8" i="2"/>
  <c r="I8" i="2"/>
  <c r="H8" i="2"/>
  <c r="G8" i="2"/>
  <c r="F8" i="2"/>
  <c r="J7" i="2"/>
  <c r="J10" i="2" s="1"/>
  <c r="I7" i="2"/>
  <c r="H7" i="2"/>
  <c r="H10" i="2" s="1"/>
  <c r="G7" i="2"/>
  <c r="F7" i="2"/>
  <c r="F10" i="2" s="1"/>
  <c r="J6" i="2"/>
  <c r="I6" i="2"/>
  <c r="I10" i="2" s="1"/>
  <c r="H6" i="2"/>
  <c r="G6" i="2"/>
  <c r="G10" i="2" s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J41" i="1"/>
  <c r="I41" i="1"/>
  <c r="H41" i="1"/>
  <c r="G41" i="1"/>
  <c r="F41" i="1"/>
  <c r="J40" i="1"/>
  <c r="I40" i="1"/>
  <c r="H40" i="1"/>
  <c r="G40" i="1"/>
  <c r="J39" i="1"/>
  <c r="J45" i="1" s="1"/>
  <c r="I39" i="1"/>
  <c r="H39" i="1"/>
  <c r="H45" i="1" s="1"/>
  <c r="G39" i="1"/>
  <c r="F39" i="1"/>
  <c r="F45" i="1" s="1"/>
  <c r="J38" i="1"/>
  <c r="I38" i="1"/>
  <c r="H38" i="1"/>
  <c r="G38" i="1"/>
  <c r="J37" i="1"/>
  <c r="I37" i="1"/>
  <c r="I45" i="1" s="1"/>
  <c r="H37" i="1"/>
  <c r="G37" i="1"/>
  <c r="G45" i="1" s="1"/>
  <c r="F37" i="1"/>
  <c r="J36" i="1"/>
  <c r="H36" i="1"/>
  <c r="F36" i="1"/>
  <c r="J35" i="1"/>
  <c r="I35" i="1"/>
  <c r="I36" i="1" s="1"/>
  <c r="H35" i="1"/>
  <c r="G35" i="1"/>
  <c r="G36" i="1" s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F33" i="1" s="1"/>
  <c r="J29" i="1"/>
  <c r="J33" i="1" s="1"/>
  <c r="I29" i="1"/>
  <c r="I33" i="1" s="1"/>
  <c r="H29" i="1"/>
  <c r="H33" i="1" s="1"/>
  <c r="G29" i="1"/>
  <c r="G33" i="1" s="1"/>
  <c r="H22" i="1" l="1"/>
  <c r="J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I22" i="1" s="1"/>
  <c r="H14" i="1"/>
  <c r="G14" i="1"/>
  <c r="H13" i="1"/>
  <c r="J12" i="1"/>
  <c r="J13" i="1" s="1"/>
  <c r="I12" i="1"/>
  <c r="I13" i="1" s="1"/>
  <c r="H12" i="1"/>
  <c r="G12" i="1"/>
  <c r="G13" i="1" s="1"/>
  <c r="H10" i="1"/>
  <c r="J9" i="1"/>
  <c r="I9" i="1"/>
  <c r="H9" i="1"/>
  <c r="G9" i="1"/>
  <c r="G8" i="1"/>
  <c r="J8" i="1"/>
  <c r="I8" i="1"/>
  <c r="H8" i="1"/>
  <c r="J7" i="1"/>
  <c r="J10" i="1" s="1"/>
  <c r="I7" i="1"/>
  <c r="H7" i="1"/>
  <c r="G7" i="1"/>
  <c r="G6" i="1"/>
  <c r="G10" i="1" s="1"/>
  <c r="J6" i="1"/>
  <c r="I6" i="1"/>
  <c r="I10" i="1" s="1"/>
  <c r="H6" i="1"/>
  <c r="F21" i="1"/>
  <c r="F16" i="1"/>
  <c r="F14" i="1"/>
  <c r="F18" i="1"/>
  <c r="F22" i="1" s="1"/>
  <c r="F7" i="1" l="1"/>
  <c r="F8" i="1"/>
  <c r="F13" i="1" l="1"/>
  <c r="F10" i="1"/>
</calcChain>
</file>

<file path=xl/sharedStrings.xml><?xml version="1.0" encoding="utf-8"?>
<sst xmlns="http://schemas.openxmlformats.org/spreadsheetml/2006/main" count="186" uniqueCount="66">
  <si>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</si>
  <si>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</si>
  <si>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</si>
  <si>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</si>
  <si>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</si>
  <si>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</si>
  <si>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</si>
  <si>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</si>
  <si>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</si>
  <si>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</si>
  <si>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</si>
  <si>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</si>
  <si>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</si>
  <si>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</si>
  <si>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</si>
  <si>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</si>
  <si>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</si>
  <si>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</si>
  <si>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</si>
  <si>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</si>
  <si>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</si>
  <si>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</si>
  <si>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</si>
  <si>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МБОУ БСШ №1 им. Е. К. Зырянова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</si>
  <si>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</si>
  <si>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</si>
  <si>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</si>
  <si>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</si>
  <si>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</si>
  <si>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</si>
  <si>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</si>
  <si>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</si>
  <si>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</si>
  <si>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</si>
  <si>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1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</si>
  <si>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</si>
  <si>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</si>
  <si>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</si>
  <si>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</si>
  <si>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</si>
  <si>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</si>
  <si>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</si>
  <si>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</si>
  <si>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</si>
  <si>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</si>
  <si>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</si>
  <si>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</si>
  <si>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40</t>
  </si>
  <si>
    <t>80</t>
  </si>
  <si>
    <t>25</t>
  </si>
  <si>
    <t>32</t>
  </si>
  <si>
    <t>корп</t>
  </si>
  <si>
    <r>
      <t>"</t>
    </r>
    <r>
      <rPr>
        <u/>
        <sz val="11"/>
        <color theme="1"/>
        <rFont val="Calibri"/>
        <family val="2"/>
        <charset val="204"/>
        <scheme val="minor"/>
      </rPr>
      <t>_02__"_09____2021</t>
    </r>
  </si>
  <si>
    <t>2</t>
  </si>
  <si>
    <r>
      <t>"_</t>
    </r>
    <r>
      <rPr>
        <u/>
        <sz val="11"/>
        <color theme="1"/>
        <rFont val="Calibri"/>
        <family val="2"/>
        <charset val="204"/>
        <scheme val="minor"/>
      </rPr>
      <t>02__"_09_</t>
    </r>
    <r>
      <rPr>
        <sz val="11"/>
        <color theme="1"/>
        <rFont val="Calibri"/>
        <family val="2"/>
        <scheme val="minor"/>
      </rPr>
      <t>___2021</t>
    </r>
  </si>
  <si>
    <t>11-18 лет</t>
  </si>
  <si>
    <t>100</t>
  </si>
  <si>
    <t>90/80</t>
  </si>
  <si>
    <t>37</t>
  </si>
  <si>
    <r>
      <t>"_</t>
    </r>
    <r>
      <rPr>
        <u/>
        <sz val="11"/>
        <rFont val="Calibri"/>
        <family val="2"/>
        <charset val="204"/>
        <scheme val="minor"/>
      </rPr>
      <t>02_</t>
    </r>
    <r>
      <rPr>
        <sz val="11"/>
        <rFont val="Calibri"/>
        <family val="2"/>
        <scheme val="minor"/>
      </rPr>
      <t>_"_</t>
    </r>
    <r>
      <rPr>
        <u/>
        <sz val="11"/>
        <rFont val="Calibri"/>
        <family val="2"/>
        <charset val="204"/>
        <scheme val="minor"/>
      </rPr>
      <t>09</t>
    </r>
    <r>
      <rPr>
        <sz val="11"/>
        <rFont val="Calibri"/>
        <family val="2"/>
        <scheme val="minor"/>
      </rPr>
      <t>____2021</t>
    </r>
  </si>
  <si>
    <t>За наличный расчет</t>
  </si>
  <si>
    <t>20</t>
  </si>
  <si>
    <t>28</t>
  </si>
  <si>
    <t>245/5</t>
  </si>
  <si>
    <t>75/65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</si>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</sst>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charset val="204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Protection="1">
      <protection locked="0"/>
    </xf>
    <xf numFmtId="0" fontId="6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" fontId="7" fillId="0" borderId="6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4" fillId="0" borderId="8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49" fontId="7" fillId="0" borderId="6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/>
    <xf numFmtId="49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/>
    <xf numFmtId="0" fontId="4" fillId="0" borderId="18" xfId="0" applyFont="1" applyFill="1" applyBorder="1" applyProtection="1">
      <protection locked="0"/>
    </xf>
    <xf numFmtId="0" fontId="4" fillId="0" borderId="18" xfId="0" applyFont="1" applyFill="1" applyBorder="1"/>
    <xf numFmtId="0" fontId="7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Protection="1">
      <protection locked="0"/>
    </xf>
    <xf numFmtId="2" fontId="4" fillId="0" borderId="11" xfId="0" applyNumberFormat="1" applyFont="1" applyFill="1" applyBorder="1" applyProtection="1">
      <protection locked="0"/>
    </xf>
    <xf numFmtId="2" fontId="4" fillId="0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5"/>
  <sheetViews>
    <sheetView tabSelected="1" workbookViewId="0">
      <selection activeCell="L17" sqref="L17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0" bestFit="1" customWidth="1"/>
    <col min="6" max="6" width="5.42578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x14ac:dyDescent="0.25">
      <c r="A1" s="1" t="s">
        <v>0</v>
      </c>
      <c r="B1" s="52" t="s">
        <v>23</v>
      </c>
      <c r="C1" s="53"/>
      <c r="D1" s="54"/>
      <c r="E1" s="30" t="s">
        <v>51</v>
      </c>
      <c r="F1" s="29" t="s">
        <v>34</v>
      </c>
      <c r="H1" s="1" t="s">
        <v>1</v>
      </c>
      <c r="I1" s="28" t="s">
        <v>52</v>
      </c>
    </row>
    <row r="2" spans="1:10" ht="15.75" thickBot="1" x14ac:dyDescent="0.3">
      <c r="B2" s="2" t="s">
        <v>36</v>
      </c>
    </row>
    <row r="3" spans="1:10" s="36" customFormat="1" ht="30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30" x14ac:dyDescent="0.25">
      <c r="A4" s="3" t="s">
        <v>10</v>
      </c>
      <c r="B4" s="4" t="s">
        <v>11</v>
      </c>
      <c r="C4" s="5">
        <v>53</v>
      </c>
      <c r="D4" s="6" t="s">
        <v>37</v>
      </c>
      <c r="E4" s="38">
        <v>200</v>
      </c>
      <c r="F4" s="39">
        <v>11.04</v>
      </c>
      <c r="G4" s="7">
        <v>146</v>
      </c>
      <c r="H4" s="7">
        <v>5.7</v>
      </c>
      <c r="I4" s="7">
        <v>5.28</v>
      </c>
      <c r="J4" s="8">
        <v>18.88</v>
      </c>
    </row>
    <row r="5" spans="1:10" x14ac:dyDescent="0.25">
      <c r="A5" s="9"/>
      <c r="B5" s="10" t="s">
        <v>12</v>
      </c>
      <c r="C5" s="11">
        <v>30</v>
      </c>
      <c r="D5" s="12" t="s">
        <v>38</v>
      </c>
      <c r="E5" s="40">
        <v>200</v>
      </c>
      <c r="F5" s="41">
        <v>3.31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 x14ac:dyDescent="0.25">
      <c r="A6" s="9"/>
      <c r="B6" s="10" t="s">
        <v>19</v>
      </c>
      <c r="C6" s="11" t="s">
        <v>24</v>
      </c>
      <c r="D6" s="12" t="s">
        <v>25</v>
      </c>
      <c r="E6" s="40">
        <v>25</v>
      </c>
      <c r="F6" s="41">
        <v>1.1000000000000001</v>
      </c>
      <c r="G6" s="13">
        <f>40*25/20</f>
        <v>50</v>
      </c>
      <c r="H6" s="13">
        <f>0.98*25/20</f>
        <v>1.2250000000000001</v>
      </c>
      <c r="I6" s="13">
        <f>0.2*25/20</f>
        <v>0.25</v>
      </c>
      <c r="J6" s="14">
        <f>8.95*25/20</f>
        <v>11.187499999999998</v>
      </c>
    </row>
    <row r="7" spans="1:10" x14ac:dyDescent="0.25">
      <c r="A7" s="9"/>
      <c r="B7" s="15"/>
      <c r="C7" s="11" t="s">
        <v>24</v>
      </c>
      <c r="D7" s="12" t="s">
        <v>26</v>
      </c>
      <c r="E7" s="40">
        <v>26</v>
      </c>
      <c r="F7" s="41">
        <f>86.25*0.026</f>
        <v>2.2424999999999997</v>
      </c>
      <c r="G7" s="13">
        <f>41.6*26/20</f>
        <v>54.080000000000005</v>
      </c>
      <c r="H7" s="13">
        <f>1.6*26/20</f>
        <v>2.08</v>
      </c>
      <c r="I7" s="13">
        <f>0.03*26/20</f>
        <v>3.9E-2</v>
      </c>
      <c r="J7" s="14">
        <f>8.02*25/20</f>
        <v>10.025</v>
      </c>
    </row>
    <row r="8" spans="1:10" x14ac:dyDescent="0.25">
      <c r="A8" s="9"/>
      <c r="B8" s="16" t="s">
        <v>27</v>
      </c>
      <c r="C8" s="17" t="s">
        <v>24</v>
      </c>
      <c r="D8" s="18" t="s">
        <v>39</v>
      </c>
      <c r="E8" s="42">
        <v>139</v>
      </c>
      <c r="F8" s="43">
        <f>168*0.139</f>
        <v>23.352000000000004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 x14ac:dyDescent="0.25">
      <c r="A9" s="21"/>
      <c r="B9" s="15"/>
      <c r="C9" s="11">
        <v>6</v>
      </c>
      <c r="D9" s="12" t="s">
        <v>28</v>
      </c>
      <c r="E9" s="40">
        <v>12</v>
      </c>
      <c r="F9" s="41">
        <v>7.56</v>
      </c>
      <c r="G9" s="13">
        <f>36</f>
        <v>36</v>
      </c>
      <c r="H9" s="13">
        <f>1.36</f>
        <v>1.36</v>
      </c>
      <c r="I9" s="13">
        <f>2.76</f>
        <v>2.76</v>
      </c>
      <c r="J9" s="13">
        <f>0.31</f>
        <v>0.31</v>
      </c>
    </row>
    <row r="10" spans="1:10" ht="15.75" thickBot="1" x14ac:dyDescent="0.3">
      <c r="A10" s="9"/>
      <c r="B10" s="22"/>
      <c r="C10" s="23"/>
      <c r="D10" s="24"/>
      <c r="E10" s="44"/>
      <c r="F10" s="45">
        <f>SUM(F4:F9)</f>
        <v>48.604500000000002</v>
      </c>
      <c r="G10" s="25">
        <f>SUM(G4:G9)</f>
        <v>462.52</v>
      </c>
      <c r="H10" s="25">
        <f t="shared" ref="H10:J10" si="0">SUM(H4:H9)</f>
        <v>12.509999999999998</v>
      </c>
      <c r="I10" s="25">
        <f t="shared" si="0"/>
        <v>9.0339999999999989</v>
      </c>
      <c r="J10" s="25">
        <f t="shared" si="0"/>
        <v>79.8125</v>
      </c>
    </row>
    <row r="11" spans="1:10" x14ac:dyDescent="0.25">
      <c r="A11" s="3" t="s">
        <v>29</v>
      </c>
      <c r="B11" s="4"/>
      <c r="C11" s="5">
        <v>25</v>
      </c>
      <c r="D11" s="6" t="s">
        <v>33</v>
      </c>
      <c r="E11" s="38">
        <v>200</v>
      </c>
      <c r="F11" s="39">
        <v>9.4600000000000009</v>
      </c>
      <c r="G11" s="7">
        <v>136</v>
      </c>
      <c r="H11" s="7">
        <v>0.6</v>
      </c>
      <c r="I11" s="7">
        <v>0</v>
      </c>
      <c r="J11" s="8">
        <v>33</v>
      </c>
    </row>
    <row r="12" spans="1:10" x14ac:dyDescent="0.25">
      <c r="A12" s="21"/>
      <c r="B12" s="15"/>
      <c r="C12" s="11">
        <v>76</v>
      </c>
      <c r="D12" s="12" t="s">
        <v>44</v>
      </c>
      <c r="E12" s="40">
        <v>105</v>
      </c>
      <c r="F12" s="41">
        <v>26.98</v>
      </c>
      <c r="G12" s="13">
        <f>245*1.05</f>
        <v>257.25</v>
      </c>
      <c r="H12" s="13">
        <f>12.45*1.05</f>
        <v>13.0725</v>
      </c>
      <c r="I12" s="13">
        <f>8.59*1.05</f>
        <v>9.0195000000000007</v>
      </c>
      <c r="J12" s="14">
        <f>6.33*1.05</f>
        <v>6.6465000000000005</v>
      </c>
    </row>
    <row r="13" spans="1:10" ht="15.75" thickBot="1" x14ac:dyDescent="0.3">
      <c r="A13" s="31"/>
      <c r="B13" s="16"/>
      <c r="C13" s="17"/>
      <c r="D13" s="18"/>
      <c r="E13" s="42"/>
      <c r="F13" s="43">
        <f>SUM(F11:F12)</f>
        <v>36.44</v>
      </c>
      <c r="G13" s="19">
        <f>SUM(G11:G12)</f>
        <v>393.25</v>
      </c>
      <c r="H13" s="19">
        <f t="shared" ref="H13:J13" si="1">SUM(H11:H12)</f>
        <v>13.672499999999999</v>
      </c>
      <c r="I13" s="19">
        <f t="shared" si="1"/>
        <v>9.0195000000000007</v>
      </c>
      <c r="J13" s="19">
        <f t="shared" si="1"/>
        <v>39.646500000000003</v>
      </c>
    </row>
    <row r="14" spans="1:10" x14ac:dyDescent="0.25">
      <c r="A14" s="3" t="s">
        <v>13</v>
      </c>
      <c r="B14" s="4" t="s">
        <v>14</v>
      </c>
      <c r="C14" s="5">
        <v>27</v>
      </c>
      <c r="D14" s="6" t="s">
        <v>40</v>
      </c>
      <c r="E14" s="46" t="s">
        <v>47</v>
      </c>
      <c r="F14" s="39">
        <f>8.99*40/60</f>
        <v>5.9933333333333341</v>
      </c>
      <c r="G14" s="7">
        <f>71.4*40/60</f>
        <v>47.6</v>
      </c>
      <c r="H14" s="7">
        <f>1.14*40/60</f>
        <v>0.7599999999999999</v>
      </c>
      <c r="I14" s="7">
        <f>5.34*40/60</f>
        <v>3.56</v>
      </c>
      <c r="J14" s="8">
        <f>4.62*40/60</f>
        <v>3.08</v>
      </c>
    </row>
    <row r="15" spans="1:10" ht="30" x14ac:dyDescent="0.25">
      <c r="A15" s="9"/>
      <c r="B15" s="10" t="s">
        <v>15</v>
      </c>
      <c r="C15" s="11">
        <v>33</v>
      </c>
      <c r="D15" s="12" t="s">
        <v>41</v>
      </c>
      <c r="E15" s="47" t="s">
        <v>46</v>
      </c>
      <c r="F15" s="41">
        <v>9.84</v>
      </c>
      <c r="G15" s="13">
        <f>180.75</f>
        <v>180.75</v>
      </c>
      <c r="H15" s="13">
        <f>1.72</f>
        <v>1.72</v>
      </c>
      <c r="I15" s="13">
        <f>6.18</f>
        <v>6.18</v>
      </c>
      <c r="J15" s="14">
        <f>11.66</f>
        <v>11.66</v>
      </c>
    </row>
    <row r="16" spans="1:10" x14ac:dyDescent="0.25">
      <c r="A16" s="9"/>
      <c r="B16" s="10" t="s">
        <v>16</v>
      </c>
      <c r="C16" s="11">
        <v>23</v>
      </c>
      <c r="D16" s="12" t="s">
        <v>35</v>
      </c>
      <c r="E16" s="47" t="s">
        <v>48</v>
      </c>
      <c r="F16" s="41">
        <f>33.2*80/90</f>
        <v>29.511111111111113</v>
      </c>
      <c r="G16" s="13">
        <f>103*80/90</f>
        <v>91.555555555555557</v>
      </c>
      <c r="H16" s="13">
        <f>12.92*80/90</f>
        <v>11.484444444444444</v>
      </c>
      <c r="I16" s="13">
        <f>2.28*80/90</f>
        <v>2.0266666666666664</v>
      </c>
      <c r="J16" s="14">
        <f>8.31*80/90</f>
        <v>7.3866666666666676</v>
      </c>
    </row>
    <row r="17" spans="1:10" ht="30" x14ac:dyDescent="0.25">
      <c r="A17" s="9"/>
      <c r="B17" s="10"/>
      <c r="C17" s="11">
        <v>15</v>
      </c>
      <c r="D17" s="12" t="s">
        <v>42</v>
      </c>
      <c r="E17" s="47" t="s">
        <v>49</v>
      </c>
      <c r="F17" s="41">
        <v>2.38</v>
      </c>
      <c r="G17" s="13">
        <f>21.25</f>
        <v>21.25</v>
      </c>
      <c r="H17" s="13">
        <f>0.45</f>
        <v>0.45</v>
      </c>
      <c r="I17" s="13">
        <f>1.31</f>
        <v>1.31</v>
      </c>
      <c r="J17" s="14">
        <f>1.92</f>
        <v>1.92</v>
      </c>
    </row>
    <row r="18" spans="1:10" x14ac:dyDescent="0.25">
      <c r="A18" s="9"/>
      <c r="B18" s="10" t="s">
        <v>17</v>
      </c>
      <c r="C18" s="11">
        <v>52</v>
      </c>
      <c r="D18" s="12" t="s">
        <v>43</v>
      </c>
      <c r="E18" s="47" t="s">
        <v>45</v>
      </c>
      <c r="F18" s="41">
        <f>5.42+9.51</f>
        <v>14.93</v>
      </c>
      <c r="G18" s="13">
        <f>183.25</f>
        <v>183.25</v>
      </c>
      <c r="H18" s="13">
        <f>3.35</f>
        <v>3.35</v>
      </c>
      <c r="I18" s="13">
        <f>6.98</f>
        <v>6.98</v>
      </c>
      <c r="J18" s="14">
        <f>22.19</f>
        <v>22.19</v>
      </c>
    </row>
    <row r="19" spans="1:10" x14ac:dyDescent="0.25">
      <c r="A19" s="9"/>
      <c r="B19" s="10" t="s">
        <v>30</v>
      </c>
      <c r="C19" s="11">
        <v>35</v>
      </c>
      <c r="D19" s="12" t="s">
        <v>32</v>
      </c>
      <c r="E19" s="47">
        <v>200</v>
      </c>
      <c r="F19" s="41">
        <v>7.02</v>
      </c>
      <c r="G19" s="13">
        <f>97</f>
        <v>97</v>
      </c>
      <c r="H19" s="13">
        <f>0.68</f>
        <v>0.68</v>
      </c>
      <c r="I19" s="13">
        <f>0.28</f>
        <v>0.28000000000000003</v>
      </c>
      <c r="J19" s="14">
        <f>19.64</f>
        <v>19.64</v>
      </c>
    </row>
    <row r="20" spans="1:10" x14ac:dyDescent="0.25">
      <c r="A20" s="9"/>
      <c r="B20" s="10" t="s">
        <v>20</v>
      </c>
      <c r="C20" s="11" t="s">
        <v>24</v>
      </c>
      <c r="D20" s="12" t="s">
        <v>31</v>
      </c>
      <c r="E20" s="47" t="s">
        <v>50</v>
      </c>
      <c r="F20" s="41">
        <v>1.83</v>
      </c>
      <c r="G20" s="13">
        <f>62.4*32/30</f>
        <v>66.56</v>
      </c>
      <c r="H20" s="13">
        <f>2.4*32/30</f>
        <v>2.56</v>
      </c>
      <c r="I20" s="13">
        <f>0.45*32/30</f>
        <v>0.48000000000000004</v>
      </c>
      <c r="J20" s="14">
        <f>11.37*32/30</f>
        <v>12.127999999999998</v>
      </c>
    </row>
    <row r="21" spans="1:10" x14ac:dyDescent="0.25">
      <c r="A21" s="9"/>
      <c r="B21" s="26" t="s">
        <v>18</v>
      </c>
      <c r="C21" s="17" t="s">
        <v>24</v>
      </c>
      <c r="D21" s="18" t="s">
        <v>25</v>
      </c>
      <c r="E21" s="48">
        <v>31</v>
      </c>
      <c r="F21" s="43">
        <f>45.14*0.031</f>
        <v>1.39934</v>
      </c>
      <c r="G21" s="19">
        <f>60*31/30</f>
        <v>62</v>
      </c>
      <c r="H21" s="19">
        <f>1.47*31/30</f>
        <v>1.5189999999999999</v>
      </c>
      <c r="I21" s="19">
        <f>0.3*31/30</f>
        <v>0.30999999999999994</v>
      </c>
      <c r="J21" s="20">
        <f>13.44*31/30</f>
        <v>13.888</v>
      </c>
    </row>
    <row r="22" spans="1:10" x14ac:dyDescent="0.25">
      <c r="A22" s="10"/>
      <c r="B22" s="15"/>
      <c r="C22" s="10"/>
      <c r="D22" s="10"/>
      <c r="E22" s="49"/>
      <c r="F22" s="50">
        <f>SUM(F14:F21)</f>
        <v>72.90378444444444</v>
      </c>
      <c r="G22" s="27">
        <f>SUM(G14:G21)</f>
        <v>749.96555555555551</v>
      </c>
      <c r="H22" s="27">
        <f t="shared" ref="H22:J22" si="2">SUM(H14:H21)</f>
        <v>22.52344444444444</v>
      </c>
      <c r="I22" s="27">
        <f t="shared" si="2"/>
        <v>21.126666666666665</v>
      </c>
      <c r="J22" s="27">
        <f t="shared" si="2"/>
        <v>91.89266666666667</v>
      </c>
    </row>
    <row r="24" spans="1:10" x14ac:dyDescent="0.25">
      <c r="A24" s="1" t="s">
        <v>0</v>
      </c>
      <c r="B24" s="55" t="s">
        <v>23</v>
      </c>
      <c r="C24" s="56"/>
      <c r="D24" s="57"/>
      <c r="E24" s="30" t="s">
        <v>51</v>
      </c>
      <c r="F24" s="29" t="s">
        <v>53</v>
      </c>
      <c r="H24" s="1" t="s">
        <v>1</v>
      </c>
      <c r="I24" s="28" t="s">
        <v>54</v>
      </c>
    </row>
    <row r="25" spans="1:10" ht="15.75" thickBot="1" x14ac:dyDescent="0.3">
      <c r="B25" s="2" t="s">
        <v>55</v>
      </c>
      <c r="E25" s="58"/>
      <c r="F25" s="51"/>
    </row>
    <row r="26" spans="1:10" ht="30.75" thickBot="1" x14ac:dyDescent="0.3">
      <c r="A26" s="59" t="s">
        <v>2</v>
      </c>
      <c r="B26" s="60" t="s">
        <v>3</v>
      </c>
      <c r="C26" s="60" t="s">
        <v>21</v>
      </c>
      <c r="D26" s="60" t="s">
        <v>4</v>
      </c>
      <c r="E26" s="61" t="s">
        <v>22</v>
      </c>
      <c r="F26" s="61" t="s">
        <v>5</v>
      </c>
      <c r="G26" s="62" t="s">
        <v>6</v>
      </c>
      <c r="H26" s="60" t="s">
        <v>7</v>
      </c>
      <c r="I26" s="60" t="s">
        <v>8</v>
      </c>
      <c r="J26" s="63" t="s">
        <v>9</v>
      </c>
    </row>
    <row r="27" spans="1:10" ht="30" x14ac:dyDescent="0.25">
      <c r="A27" s="3" t="s">
        <v>10</v>
      </c>
      <c r="B27" s="4" t="s">
        <v>11</v>
      </c>
      <c r="C27" s="5">
        <v>53</v>
      </c>
      <c r="D27" s="6" t="s">
        <v>37</v>
      </c>
      <c r="E27" s="38">
        <v>200</v>
      </c>
      <c r="F27" s="39">
        <v>11.04</v>
      </c>
      <c r="G27" s="7">
        <v>146</v>
      </c>
      <c r="H27" s="7">
        <v>5.7</v>
      </c>
      <c r="I27" s="7">
        <v>5.28</v>
      </c>
      <c r="J27" s="8">
        <v>18.88</v>
      </c>
    </row>
    <row r="28" spans="1:10" x14ac:dyDescent="0.25">
      <c r="A28" s="9"/>
      <c r="B28" s="10" t="s">
        <v>12</v>
      </c>
      <c r="C28" s="11">
        <v>30</v>
      </c>
      <c r="D28" s="12" t="s">
        <v>38</v>
      </c>
      <c r="E28" s="40">
        <v>200</v>
      </c>
      <c r="F28" s="41">
        <v>3.31</v>
      </c>
      <c r="G28" s="13">
        <v>43</v>
      </c>
      <c r="H28" s="13">
        <v>0.06</v>
      </c>
      <c r="I28" s="13">
        <v>0.01</v>
      </c>
      <c r="J28" s="14">
        <v>10.220000000000001</v>
      </c>
    </row>
    <row r="29" spans="1:10" x14ac:dyDescent="0.25">
      <c r="A29" s="9"/>
      <c r="B29" s="10" t="s">
        <v>19</v>
      </c>
      <c r="C29" s="11" t="s">
        <v>24</v>
      </c>
      <c r="D29" s="12" t="s">
        <v>25</v>
      </c>
      <c r="E29" s="40">
        <v>34</v>
      </c>
      <c r="F29" s="41">
        <v>1.52</v>
      </c>
      <c r="G29" s="13">
        <f>40*34/20</f>
        <v>68</v>
      </c>
      <c r="H29" s="13">
        <f>0.98*34/20</f>
        <v>1.6659999999999999</v>
      </c>
      <c r="I29" s="13">
        <f>0.2*34/20</f>
        <v>0.34</v>
      </c>
      <c r="J29" s="14">
        <f>8.95*34/20</f>
        <v>15.214999999999998</v>
      </c>
    </row>
    <row r="30" spans="1:10" x14ac:dyDescent="0.25">
      <c r="A30" s="9"/>
      <c r="B30" s="15"/>
      <c r="C30" s="11" t="s">
        <v>24</v>
      </c>
      <c r="D30" s="12" t="s">
        <v>26</v>
      </c>
      <c r="E30" s="40">
        <v>35</v>
      </c>
      <c r="F30" s="41">
        <f>86.25*0.035</f>
        <v>3.0187500000000003</v>
      </c>
      <c r="G30" s="13">
        <f>41.6*35/20</f>
        <v>72.8</v>
      </c>
      <c r="H30" s="13">
        <f>1.6*35/20</f>
        <v>2.8</v>
      </c>
      <c r="I30" s="13">
        <f>0.03*35/20</f>
        <v>5.2500000000000005E-2</v>
      </c>
      <c r="J30" s="14">
        <f>8.02*35/20</f>
        <v>14.035</v>
      </c>
    </row>
    <row r="31" spans="1:10" x14ac:dyDescent="0.25">
      <c r="A31" s="9"/>
      <c r="B31" s="16" t="s">
        <v>27</v>
      </c>
      <c r="C31" s="17" t="s">
        <v>24</v>
      </c>
      <c r="D31" s="18" t="s">
        <v>39</v>
      </c>
      <c r="E31" s="42">
        <v>139</v>
      </c>
      <c r="F31" s="43">
        <f>168*0.139</f>
        <v>23.352000000000004</v>
      </c>
      <c r="G31" s="19">
        <f>96*1.39</f>
        <v>133.44</v>
      </c>
      <c r="H31" s="19">
        <f>1.5*1.39</f>
        <v>2.085</v>
      </c>
      <c r="I31" s="19">
        <f>0.5*1.39</f>
        <v>0.69499999999999995</v>
      </c>
      <c r="J31" s="20">
        <f>21*1.39</f>
        <v>29.189999999999998</v>
      </c>
    </row>
    <row r="32" spans="1:10" x14ac:dyDescent="0.25">
      <c r="A32" s="21"/>
      <c r="B32" s="15"/>
      <c r="C32" s="11">
        <v>6</v>
      </c>
      <c r="D32" s="12" t="s">
        <v>28</v>
      </c>
      <c r="E32" s="40">
        <v>23</v>
      </c>
      <c r="F32" s="41">
        <f>9.3*23/15</f>
        <v>14.26</v>
      </c>
      <c r="G32" s="13">
        <f>36</f>
        <v>36</v>
      </c>
      <c r="H32" s="13">
        <f>1.36</f>
        <v>1.36</v>
      </c>
      <c r="I32" s="13">
        <f>2.76</f>
        <v>2.76</v>
      </c>
      <c r="J32" s="13">
        <f>0.31</f>
        <v>0.31</v>
      </c>
    </row>
    <row r="33" spans="1:10" ht="15.75" thickBot="1" x14ac:dyDescent="0.3">
      <c r="A33" s="9"/>
      <c r="B33" s="22"/>
      <c r="C33" s="23"/>
      <c r="D33" s="24"/>
      <c r="E33" s="44"/>
      <c r="F33" s="45">
        <f>SUM(F27:F32)</f>
        <v>56.500750000000004</v>
      </c>
      <c r="G33" s="25">
        <f>SUM(G27:G32)</f>
        <v>499.24</v>
      </c>
      <c r="H33" s="25">
        <f t="shared" ref="H33:J33" si="3">SUM(H27:H32)</f>
        <v>13.670999999999999</v>
      </c>
      <c r="I33" s="25">
        <f t="shared" si="3"/>
        <v>9.1374999999999993</v>
      </c>
      <c r="J33" s="25">
        <f t="shared" si="3"/>
        <v>87.85</v>
      </c>
    </row>
    <row r="34" spans="1:10" x14ac:dyDescent="0.25">
      <c r="A34" s="3" t="s">
        <v>29</v>
      </c>
      <c r="B34" s="4"/>
      <c r="C34" s="5">
        <v>25</v>
      </c>
      <c r="D34" s="6" t="s">
        <v>33</v>
      </c>
      <c r="E34" s="38">
        <v>200</v>
      </c>
      <c r="F34" s="39">
        <v>9.4600000000000009</v>
      </c>
      <c r="G34" s="7">
        <v>136</v>
      </c>
      <c r="H34" s="7">
        <v>0.6</v>
      </c>
      <c r="I34" s="7">
        <v>0</v>
      </c>
      <c r="J34" s="8">
        <v>33</v>
      </c>
    </row>
    <row r="35" spans="1:10" x14ac:dyDescent="0.25">
      <c r="A35" s="21"/>
      <c r="B35" s="15"/>
      <c r="C35" s="11">
        <v>76</v>
      </c>
      <c r="D35" s="12" t="s">
        <v>44</v>
      </c>
      <c r="E35" s="40">
        <v>125</v>
      </c>
      <c r="F35" s="41">
        <v>32.9</v>
      </c>
      <c r="G35" s="13">
        <f>245*1.25</f>
        <v>306.25</v>
      </c>
      <c r="H35" s="13">
        <f>12.45*1.25</f>
        <v>15.5625</v>
      </c>
      <c r="I35" s="13">
        <f>8.59*1.25</f>
        <v>10.737500000000001</v>
      </c>
      <c r="J35" s="14">
        <f>6.33*1.25</f>
        <v>7.9124999999999996</v>
      </c>
    </row>
    <row r="36" spans="1:10" ht="15.75" thickBot="1" x14ac:dyDescent="0.3">
      <c r="A36" s="31"/>
      <c r="B36" s="16"/>
      <c r="C36" s="17"/>
      <c r="D36" s="18"/>
      <c r="E36" s="42"/>
      <c r="F36" s="43">
        <f>SUM(F34:F35)</f>
        <v>42.36</v>
      </c>
      <c r="G36" s="19">
        <f>SUM(G34:G35)</f>
        <v>442.25</v>
      </c>
      <c r="H36" s="19">
        <f t="shared" ref="H36:J36" si="4">SUM(H34:H35)</f>
        <v>16.162500000000001</v>
      </c>
      <c r="I36" s="19">
        <f t="shared" si="4"/>
        <v>10.737500000000001</v>
      </c>
      <c r="J36" s="19">
        <f t="shared" si="4"/>
        <v>40.912500000000001</v>
      </c>
    </row>
    <row r="37" spans="1:10" x14ac:dyDescent="0.25">
      <c r="A37" s="3" t="s">
        <v>13</v>
      </c>
      <c r="B37" s="4" t="s">
        <v>14</v>
      </c>
      <c r="C37" s="5">
        <v>27</v>
      </c>
      <c r="D37" s="6" t="s">
        <v>40</v>
      </c>
      <c r="E37" s="46" t="s">
        <v>47</v>
      </c>
      <c r="F37" s="39">
        <f>14.98*0.4</f>
        <v>5.9920000000000009</v>
      </c>
      <c r="G37" s="7">
        <f>71.4*40/60</f>
        <v>47.6</v>
      </c>
      <c r="H37" s="7">
        <f>1.14*40/60</f>
        <v>0.7599999999999999</v>
      </c>
      <c r="I37" s="7">
        <f>5.34*40/60</f>
        <v>3.56</v>
      </c>
      <c r="J37" s="8">
        <f>4.62*40/60</f>
        <v>3.08</v>
      </c>
    </row>
    <row r="38" spans="1:10" ht="30" x14ac:dyDescent="0.25">
      <c r="A38" s="9"/>
      <c r="B38" s="10" t="s">
        <v>15</v>
      </c>
      <c r="C38" s="11">
        <v>33</v>
      </c>
      <c r="D38" s="12" t="s">
        <v>41</v>
      </c>
      <c r="E38" s="47" t="s">
        <v>46</v>
      </c>
      <c r="F38" s="41">
        <v>9.84</v>
      </c>
      <c r="G38" s="13">
        <f>180.75</f>
        <v>180.75</v>
      </c>
      <c r="H38" s="13">
        <f>1.72</f>
        <v>1.72</v>
      </c>
      <c r="I38" s="13">
        <f>6.18</f>
        <v>6.18</v>
      </c>
      <c r="J38" s="14">
        <f>11.66</f>
        <v>11.66</v>
      </c>
    </row>
    <row r="39" spans="1:10" x14ac:dyDescent="0.25">
      <c r="A39" s="9"/>
      <c r="B39" s="10" t="s">
        <v>16</v>
      </c>
      <c r="C39" s="11">
        <v>23</v>
      </c>
      <c r="D39" s="12" t="s">
        <v>35</v>
      </c>
      <c r="E39" s="47" t="s">
        <v>56</v>
      </c>
      <c r="F39" s="41">
        <f>44.53*100/120</f>
        <v>37.108333333333334</v>
      </c>
      <c r="G39" s="13">
        <f>137.33*100/120</f>
        <v>114.44166666666668</v>
      </c>
      <c r="H39" s="13">
        <f>17.23*100/120</f>
        <v>14.358333333333333</v>
      </c>
      <c r="I39" s="13">
        <f>3.04*100/120</f>
        <v>2.5333333333333332</v>
      </c>
      <c r="J39" s="14">
        <f>11.04*100/120</f>
        <v>9.1999999999999993</v>
      </c>
    </row>
    <row r="40" spans="1:10" ht="30" x14ac:dyDescent="0.25">
      <c r="A40" s="9"/>
      <c r="B40" s="10"/>
      <c r="C40" s="11">
        <v>15</v>
      </c>
      <c r="D40" s="12" t="s">
        <v>42</v>
      </c>
      <c r="E40" s="47" t="s">
        <v>49</v>
      </c>
      <c r="F40" s="41">
        <v>2.38</v>
      </c>
      <c r="G40" s="13">
        <f>21.25</f>
        <v>21.25</v>
      </c>
      <c r="H40" s="13">
        <f>0.45</f>
        <v>0.45</v>
      </c>
      <c r="I40" s="13">
        <f>1.31</f>
        <v>1.31</v>
      </c>
      <c r="J40" s="14">
        <f>1.92</f>
        <v>1.92</v>
      </c>
    </row>
    <row r="41" spans="1:10" x14ac:dyDescent="0.25">
      <c r="A41" s="9"/>
      <c r="B41" s="10" t="s">
        <v>17</v>
      </c>
      <c r="C41" s="11">
        <v>52</v>
      </c>
      <c r="D41" s="12" t="s">
        <v>43</v>
      </c>
      <c r="E41" s="47" t="s">
        <v>57</v>
      </c>
      <c r="F41" s="41">
        <f>6.67*90/96+12.91*80/84</f>
        <v>18.548363095238095</v>
      </c>
      <c r="G41" s="13">
        <f>183.25*170/150</f>
        <v>207.68333333333334</v>
      </c>
      <c r="H41" s="13">
        <f>3.35*170/150</f>
        <v>3.7966666666666669</v>
      </c>
      <c r="I41" s="13">
        <f>6.98*170/150</f>
        <v>7.9106666666666676</v>
      </c>
      <c r="J41" s="14">
        <f>22.19*170/150</f>
        <v>25.148666666666667</v>
      </c>
    </row>
    <row r="42" spans="1:10" x14ac:dyDescent="0.25">
      <c r="A42" s="9"/>
      <c r="B42" s="10" t="s">
        <v>30</v>
      </c>
      <c r="C42" s="11">
        <v>35</v>
      </c>
      <c r="D42" s="12" t="s">
        <v>32</v>
      </c>
      <c r="E42" s="47">
        <v>200</v>
      </c>
      <c r="F42" s="41">
        <v>7.02</v>
      </c>
      <c r="G42" s="13">
        <f>97</f>
        <v>97</v>
      </c>
      <c r="H42" s="13">
        <f>0.68</f>
        <v>0.68</v>
      </c>
      <c r="I42" s="13">
        <f>0.28</f>
        <v>0.28000000000000003</v>
      </c>
      <c r="J42" s="14">
        <f>19.64</f>
        <v>19.64</v>
      </c>
    </row>
    <row r="43" spans="1:10" x14ac:dyDescent="0.25">
      <c r="A43" s="9"/>
      <c r="B43" s="10" t="s">
        <v>20</v>
      </c>
      <c r="C43" s="11" t="s">
        <v>24</v>
      </c>
      <c r="D43" s="12" t="s">
        <v>31</v>
      </c>
      <c r="E43" s="47" t="s">
        <v>58</v>
      </c>
      <c r="F43" s="41">
        <f>58.5*0.037</f>
        <v>2.1644999999999999</v>
      </c>
      <c r="G43" s="13">
        <f>62.4*37/30</f>
        <v>76.959999999999994</v>
      </c>
      <c r="H43" s="13">
        <f>2.4*37/30</f>
        <v>2.96</v>
      </c>
      <c r="I43" s="13">
        <f>0.45*37/30</f>
        <v>0.55500000000000005</v>
      </c>
      <c r="J43" s="14">
        <f>11.37*37/30</f>
        <v>14.023</v>
      </c>
    </row>
    <row r="44" spans="1:10" x14ac:dyDescent="0.25">
      <c r="A44" s="9"/>
      <c r="B44" s="26" t="s">
        <v>18</v>
      </c>
      <c r="C44" s="17" t="s">
        <v>24</v>
      </c>
      <c r="D44" s="18" t="s">
        <v>25</v>
      </c>
      <c r="E44" s="48" t="s">
        <v>58</v>
      </c>
      <c r="F44" s="43">
        <f>45.14*0.037</f>
        <v>1.67018</v>
      </c>
      <c r="G44" s="19">
        <f>60*37/30</f>
        <v>74</v>
      </c>
      <c r="H44" s="19">
        <f>1.47*37/30</f>
        <v>1.8129999999999999</v>
      </c>
      <c r="I44" s="19">
        <f>0.3*37/30</f>
        <v>0.37</v>
      </c>
      <c r="J44" s="20">
        <f>13.44*37/30</f>
        <v>16.576000000000001</v>
      </c>
    </row>
    <row r="45" spans="1:10" x14ac:dyDescent="0.25">
      <c r="A45" s="10"/>
      <c r="B45" s="15"/>
      <c r="C45" s="10"/>
      <c r="D45" s="10"/>
      <c r="E45" s="49"/>
      <c r="F45" s="50">
        <f>SUM(F37:F44)</f>
        <v>84.723376428571441</v>
      </c>
      <c r="G45" s="27">
        <f>SUM(G37:G44)</f>
        <v>819.68500000000006</v>
      </c>
      <c r="H45" s="27">
        <f t="shared" ref="H45:J45" si="5">SUM(H37:H44)</f>
        <v>26.537999999999997</v>
      </c>
      <c r="I45" s="27">
        <f t="shared" si="5"/>
        <v>22.699000000000002</v>
      </c>
      <c r="J45" s="27">
        <f t="shared" si="5"/>
        <v>101.24766666666667</v>
      </c>
    </row>
  </sheetData>
  <mergeCells count="2">
    <mergeCell ref="B1:D1"/>
    <mergeCell ref="B24:D24"/>
  </mergeCells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34" sqref="G34"/>
    </sheetView>
  </sheetViews>
  <sheetFormatPr defaultRowHeight="15" x14ac:dyDescent="0.25"/>
  <sheetData>
    <row r="1" spans="1:10" x14ac:dyDescent="0.25">
      <c r="A1" s="64" t="s">
        <v>0</v>
      </c>
      <c r="B1" s="65" t="s">
        <v>23</v>
      </c>
      <c r="C1" s="66"/>
      <c r="D1" s="67"/>
      <c r="E1" s="68" t="s">
        <v>51</v>
      </c>
      <c r="F1" s="69" t="s">
        <v>53</v>
      </c>
      <c r="G1" s="64"/>
      <c r="H1" s="64" t="s">
        <v>1</v>
      </c>
      <c r="I1" s="70" t="s">
        <v>59</v>
      </c>
      <c r="J1" s="64"/>
    </row>
    <row r="2" spans="1:10" ht="15.75" thickBot="1" x14ac:dyDescent="0.3">
      <c r="A2" s="64"/>
      <c r="B2" s="71" t="s">
        <v>60</v>
      </c>
      <c r="C2" s="64"/>
      <c r="D2" s="64"/>
      <c r="E2" s="68"/>
      <c r="F2" s="64"/>
      <c r="G2" s="64"/>
      <c r="H2" s="64"/>
      <c r="I2" s="64"/>
      <c r="J2" s="64"/>
    </row>
    <row r="3" spans="1:10" ht="30.75" thickBot="1" x14ac:dyDescent="0.3">
      <c r="A3" s="72" t="s">
        <v>2</v>
      </c>
      <c r="B3" s="73" t="s">
        <v>3</v>
      </c>
      <c r="C3" s="73" t="s">
        <v>21</v>
      </c>
      <c r="D3" s="73" t="s">
        <v>4</v>
      </c>
      <c r="E3" s="74" t="s">
        <v>22</v>
      </c>
      <c r="F3" s="74" t="s">
        <v>5</v>
      </c>
      <c r="G3" s="75" t="s">
        <v>6</v>
      </c>
      <c r="H3" s="73" t="s">
        <v>7</v>
      </c>
      <c r="I3" s="73" t="s">
        <v>8</v>
      </c>
      <c r="J3" s="76" t="s">
        <v>9</v>
      </c>
    </row>
    <row r="4" spans="1:10" ht="75" x14ac:dyDescent="0.25">
      <c r="A4" s="77"/>
      <c r="B4" s="78" t="s">
        <v>11</v>
      </c>
      <c r="C4" s="79">
        <v>53</v>
      </c>
      <c r="D4" s="80" t="s">
        <v>37</v>
      </c>
      <c r="E4" s="81">
        <v>200</v>
      </c>
      <c r="F4" s="82">
        <v>15.46</v>
      </c>
      <c r="G4" s="83">
        <v>146</v>
      </c>
      <c r="H4" s="83">
        <v>5.7</v>
      </c>
      <c r="I4" s="83">
        <v>5.28</v>
      </c>
      <c r="J4" s="84">
        <v>18.88</v>
      </c>
    </row>
    <row r="5" spans="1:10" ht="75" x14ac:dyDescent="0.25">
      <c r="A5" s="85"/>
      <c r="B5" s="86" t="s">
        <v>12</v>
      </c>
      <c r="C5" s="87">
        <v>30</v>
      </c>
      <c r="D5" s="88" t="s">
        <v>38</v>
      </c>
      <c r="E5" s="89">
        <v>200</v>
      </c>
      <c r="F5" s="90">
        <v>4.6399999999999997</v>
      </c>
      <c r="G5" s="91">
        <v>43</v>
      </c>
      <c r="H5" s="91">
        <v>0.06</v>
      </c>
      <c r="I5" s="91">
        <v>0.01</v>
      </c>
      <c r="J5" s="92">
        <v>10.220000000000001</v>
      </c>
    </row>
    <row r="6" spans="1:10" ht="30" x14ac:dyDescent="0.25">
      <c r="A6" s="85"/>
      <c r="B6" s="86" t="s">
        <v>19</v>
      </c>
      <c r="C6" s="87" t="s">
        <v>24</v>
      </c>
      <c r="D6" s="88" t="s">
        <v>25</v>
      </c>
      <c r="E6" s="89">
        <v>29</v>
      </c>
      <c r="F6" s="90">
        <v>1.52</v>
      </c>
      <c r="G6" s="91">
        <f>40*29/20</f>
        <v>58</v>
      </c>
      <c r="H6" s="91">
        <f>0.98*29/20</f>
        <v>1.4209999999999998</v>
      </c>
      <c r="I6" s="91">
        <f>0.2*29/20</f>
        <v>0.29000000000000004</v>
      </c>
      <c r="J6" s="92">
        <f>8.95*29/20</f>
        <v>12.977499999999997</v>
      </c>
    </row>
    <row r="7" spans="1:10" x14ac:dyDescent="0.25">
      <c r="A7" s="85"/>
      <c r="B7" s="93"/>
      <c r="C7" s="87" t="s">
        <v>24</v>
      </c>
      <c r="D7" s="88" t="s">
        <v>26</v>
      </c>
      <c r="E7" s="89">
        <v>30</v>
      </c>
      <c r="F7" s="90">
        <f>103.5*0.03</f>
        <v>3.105</v>
      </c>
      <c r="G7" s="91">
        <f>41.6*30/20</f>
        <v>62.4</v>
      </c>
      <c r="H7" s="91">
        <f>1.6*30/20</f>
        <v>2.4</v>
      </c>
      <c r="I7" s="91">
        <f>0.03*30/20</f>
        <v>4.4999999999999998E-2</v>
      </c>
      <c r="J7" s="92">
        <f>8.02*30/20</f>
        <v>12.03</v>
      </c>
    </row>
    <row r="8" spans="1:10" x14ac:dyDescent="0.25">
      <c r="A8" s="85"/>
      <c r="B8" s="94" t="s">
        <v>27</v>
      </c>
      <c r="C8" s="95" t="s">
        <v>24</v>
      </c>
      <c r="D8" s="96" t="s">
        <v>39</v>
      </c>
      <c r="E8" s="97">
        <v>139</v>
      </c>
      <c r="F8" s="98">
        <f>168*0.139*1.4</f>
        <v>32.692800000000005</v>
      </c>
      <c r="G8" s="99">
        <f>96*1.39</f>
        <v>133.44</v>
      </c>
      <c r="H8" s="99">
        <f>1.5*1.39</f>
        <v>2.085</v>
      </c>
      <c r="I8" s="99">
        <f>0.5*1.39</f>
        <v>0.69499999999999995</v>
      </c>
      <c r="J8" s="100">
        <f>21*1.39</f>
        <v>29.189999999999998</v>
      </c>
    </row>
    <row r="9" spans="1:10" ht="45" x14ac:dyDescent="0.25">
      <c r="A9" s="101"/>
      <c r="B9" s="93"/>
      <c r="C9" s="87">
        <v>6</v>
      </c>
      <c r="D9" s="88" t="s">
        <v>28</v>
      </c>
      <c r="E9" s="89">
        <v>12</v>
      </c>
      <c r="F9" s="90">
        <v>10.58</v>
      </c>
      <c r="G9" s="91">
        <f>36</f>
        <v>36</v>
      </c>
      <c r="H9" s="91">
        <f>1.36</f>
        <v>1.36</v>
      </c>
      <c r="I9" s="91">
        <f>2.76</f>
        <v>2.76</v>
      </c>
      <c r="J9" s="91">
        <f>0.31</f>
        <v>0.31</v>
      </c>
    </row>
    <row r="10" spans="1:10" ht="15.75" thickBot="1" x14ac:dyDescent="0.3">
      <c r="A10" s="85"/>
      <c r="B10" s="102"/>
      <c r="C10" s="103"/>
      <c r="D10" s="104"/>
      <c r="E10" s="105"/>
      <c r="F10" s="106">
        <f>SUM(F4:F9)</f>
        <v>67.997800000000012</v>
      </c>
      <c r="G10" s="107">
        <f>SUM(G4:G9)</f>
        <v>478.84</v>
      </c>
      <c r="H10" s="107">
        <f t="shared" ref="H10:J10" si="0">SUM(H4:H9)</f>
        <v>13.026</v>
      </c>
      <c r="I10" s="107">
        <f t="shared" si="0"/>
        <v>9.08</v>
      </c>
      <c r="J10" s="107">
        <f t="shared" si="0"/>
        <v>83.607500000000002</v>
      </c>
    </row>
    <row r="11" spans="1:10" ht="30" x14ac:dyDescent="0.25">
      <c r="A11" s="77"/>
      <c r="B11" s="78" t="s">
        <v>16</v>
      </c>
      <c r="C11" s="79">
        <v>23</v>
      </c>
      <c r="D11" s="80" t="s">
        <v>35</v>
      </c>
      <c r="E11" s="108" t="s">
        <v>48</v>
      </c>
      <c r="F11" s="82">
        <f>46.28*80/90</f>
        <v>41.137777777777778</v>
      </c>
      <c r="G11" s="83">
        <f>103*80/90</f>
        <v>91.555555555555557</v>
      </c>
      <c r="H11" s="83">
        <f>12.92*80/90</f>
        <v>11.484444444444444</v>
      </c>
      <c r="I11" s="83">
        <f>2.28*80/90</f>
        <v>2.0266666666666664</v>
      </c>
      <c r="J11" s="84">
        <f>8.31*80/90</f>
        <v>7.3866666666666676</v>
      </c>
    </row>
    <row r="12" spans="1:10" ht="60" x14ac:dyDescent="0.25">
      <c r="A12" s="85"/>
      <c r="B12" s="86"/>
      <c r="C12" s="87">
        <v>15</v>
      </c>
      <c r="D12" s="88" t="s">
        <v>42</v>
      </c>
      <c r="E12" s="109" t="s">
        <v>61</v>
      </c>
      <c r="F12" s="90">
        <f>3.33*20/25</f>
        <v>2.6639999999999997</v>
      </c>
      <c r="G12" s="91">
        <f>21.25*20/25</f>
        <v>17</v>
      </c>
      <c r="H12" s="91">
        <f>0.45*20/25</f>
        <v>0.36</v>
      </c>
      <c r="I12" s="91">
        <f>1.31*20/25</f>
        <v>1.048</v>
      </c>
      <c r="J12" s="92">
        <f>1.92*20/25</f>
        <v>1.536</v>
      </c>
    </row>
    <row r="13" spans="1:10" ht="75" x14ac:dyDescent="0.25">
      <c r="A13" s="85"/>
      <c r="B13" s="86" t="s">
        <v>17</v>
      </c>
      <c r="C13" s="87">
        <v>52</v>
      </c>
      <c r="D13" s="88" t="s">
        <v>43</v>
      </c>
      <c r="E13" s="109" t="s">
        <v>45</v>
      </c>
      <c r="F13" s="90">
        <f>7.59+13.31</f>
        <v>20.9</v>
      </c>
      <c r="G13" s="91">
        <f>183.25</f>
        <v>183.25</v>
      </c>
      <c r="H13" s="91">
        <f>3.35</f>
        <v>3.35</v>
      </c>
      <c r="I13" s="91">
        <f>6.98</f>
        <v>6.98</v>
      </c>
      <c r="J13" s="92">
        <f>22.19</f>
        <v>22.19</v>
      </c>
    </row>
    <row r="14" spans="1:10" ht="60" x14ac:dyDescent="0.25">
      <c r="A14" s="85"/>
      <c r="B14" s="86" t="s">
        <v>30</v>
      </c>
      <c r="C14" s="87">
        <v>35</v>
      </c>
      <c r="D14" s="88" t="s">
        <v>32</v>
      </c>
      <c r="E14" s="109">
        <v>200</v>
      </c>
      <c r="F14" s="90">
        <v>9.82</v>
      </c>
      <c r="G14" s="91">
        <f>97</f>
        <v>97</v>
      </c>
      <c r="H14" s="91">
        <f>0.68</f>
        <v>0.68</v>
      </c>
      <c r="I14" s="91">
        <f>0.28</f>
        <v>0.28000000000000003</v>
      </c>
      <c r="J14" s="92">
        <f>19.64</f>
        <v>19.64</v>
      </c>
    </row>
    <row r="15" spans="1:10" ht="45" x14ac:dyDescent="0.25">
      <c r="A15" s="85"/>
      <c r="B15" s="86" t="s">
        <v>20</v>
      </c>
      <c r="C15" s="87" t="s">
        <v>24</v>
      </c>
      <c r="D15" s="88" t="s">
        <v>31</v>
      </c>
      <c r="E15" s="109" t="s">
        <v>62</v>
      </c>
      <c r="F15" s="90">
        <f>70.2*0.028</f>
        <v>1.9656</v>
      </c>
      <c r="G15" s="91">
        <f>62.4*28/30</f>
        <v>58.24</v>
      </c>
      <c r="H15" s="91">
        <f>2.4*28/30</f>
        <v>2.2400000000000002</v>
      </c>
      <c r="I15" s="91">
        <f>0.45*28/30</f>
        <v>0.42</v>
      </c>
      <c r="J15" s="92">
        <f>11.37*28/30</f>
        <v>10.611999999999998</v>
      </c>
    </row>
    <row r="16" spans="1:10" ht="30" x14ac:dyDescent="0.25">
      <c r="A16" s="85"/>
      <c r="B16" s="110" t="s">
        <v>18</v>
      </c>
      <c r="C16" s="95" t="s">
        <v>24</v>
      </c>
      <c r="D16" s="96" t="s">
        <v>25</v>
      </c>
      <c r="E16" s="111" t="s">
        <v>62</v>
      </c>
      <c r="F16" s="98">
        <f>54.17*0.028</f>
        <v>1.5167600000000001</v>
      </c>
      <c r="G16" s="99">
        <f>60*28/30</f>
        <v>56</v>
      </c>
      <c r="H16" s="99">
        <f>1.47*28/30</f>
        <v>1.3719999999999999</v>
      </c>
      <c r="I16" s="99">
        <f>0.3*28/30</f>
        <v>0.28000000000000003</v>
      </c>
      <c r="J16" s="100">
        <f>13.44*28/30</f>
        <v>12.544</v>
      </c>
    </row>
    <row r="17" spans="1:10" ht="15.75" thickBot="1" x14ac:dyDescent="0.3">
      <c r="A17" s="112"/>
      <c r="B17" s="113"/>
      <c r="C17" s="114"/>
      <c r="D17" s="114"/>
      <c r="E17" s="115"/>
      <c r="F17" s="116">
        <f>SUM(F11:F16)</f>
        <v>78.004137777777771</v>
      </c>
      <c r="G17" s="117">
        <f>SUM(G11:G16)</f>
        <v>503.04555555555555</v>
      </c>
      <c r="H17" s="117">
        <f>SUM(H11:H16)</f>
        <v>19.486444444444444</v>
      </c>
      <c r="I17" s="117">
        <f>SUM(I11:I16)</f>
        <v>11.034666666666665</v>
      </c>
      <c r="J17" s="118">
        <f>SUM(J11:J16)</f>
        <v>73.908666666666662</v>
      </c>
    </row>
    <row r="18" spans="1:10" ht="90" x14ac:dyDescent="0.25">
      <c r="A18" s="77"/>
      <c r="B18" s="119" t="s">
        <v>15</v>
      </c>
      <c r="C18" s="120">
        <v>33</v>
      </c>
      <c r="D18" s="121" t="s">
        <v>41</v>
      </c>
      <c r="E18" s="122" t="s">
        <v>63</v>
      </c>
      <c r="F18" s="123">
        <f>11.61*245/250+2.16+6.49*0</f>
        <v>13.537799999999999</v>
      </c>
      <c r="G18" s="124">
        <f>180.75</f>
        <v>180.75</v>
      </c>
      <c r="H18" s="124">
        <f>1.72</f>
        <v>1.72</v>
      </c>
      <c r="I18" s="124">
        <f>6.18</f>
        <v>6.18</v>
      </c>
      <c r="J18" s="125">
        <f>11.66</f>
        <v>11.66</v>
      </c>
    </row>
    <row r="19" spans="1:10" ht="30" x14ac:dyDescent="0.25">
      <c r="A19" s="85"/>
      <c r="B19" s="86" t="s">
        <v>16</v>
      </c>
      <c r="C19" s="87">
        <v>23</v>
      </c>
      <c r="D19" s="88" t="s">
        <v>35</v>
      </c>
      <c r="E19" s="109" t="s">
        <v>48</v>
      </c>
      <c r="F19" s="90">
        <f>46.28*80/90</f>
        <v>41.137777777777778</v>
      </c>
      <c r="G19" s="91">
        <f>103*80/90</f>
        <v>91.555555555555557</v>
      </c>
      <c r="H19" s="91">
        <f>12.92*80/90</f>
        <v>11.484444444444444</v>
      </c>
      <c r="I19" s="91">
        <f>2.28*80/90</f>
        <v>2.0266666666666664</v>
      </c>
      <c r="J19" s="92">
        <f>8.31*80/90</f>
        <v>7.3866666666666676</v>
      </c>
    </row>
    <row r="20" spans="1:10" ht="60" x14ac:dyDescent="0.25">
      <c r="A20" s="85"/>
      <c r="B20" s="86"/>
      <c r="C20" s="87">
        <v>15</v>
      </c>
      <c r="D20" s="88" t="s">
        <v>42</v>
      </c>
      <c r="E20" s="109" t="s">
        <v>61</v>
      </c>
      <c r="F20" s="90">
        <f>3.33*20/25</f>
        <v>2.6639999999999997</v>
      </c>
      <c r="G20" s="91">
        <f>21.25*20/25</f>
        <v>17</v>
      </c>
      <c r="H20" s="91">
        <f>0.45*20/25</f>
        <v>0.36</v>
      </c>
      <c r="I20" s="91">
        <f>1.31*20/25</f>
        <v>1.048</v>
      </c>
      <c r="J20" s="92">
        <f>1.92*20/25</f>
        <v>1.536</v>
      </c>
    </row>
    <row r="21" spans="1:10" ht="75" x14ac:dyDescent="0.25">
      <c r="A21" s="85"/>
      <c r="B21" s="86" t="s">
        <v>17</v>
      </c>
      <c r="C21" s="87">
        <v>52</v>
      </c>
      <c r="D21" s="88" t="s">
        <v>43</v>
      </c>
      <c r="E21" s="109" t="s">
        <v>64</v>
      </c>
      <c r="F21" s="90">
        <f>7.59*75/80+13.31*65/70</f>
        <v>19.474910714285713</v>
      </c>
      <c r="G21" s="91">
        <f>183.25</f>
        <v>183.25</v>
      </c>
      <c r="H21" s="91">
        <f>3.35</f>
        <v>3.35</v>
      </c>
      <c r="I21" s="91">
        <f>6.98</f>
        <v>6.98</v>
      </c>
      <c r="J21" s="92">
        <f>22.19</f>
        <v>22.19</v>
      </c>
    </row>
    <row r="22" spans="1:10" ht="60" x14ac:dyDescent="0.25">
      <c r="A22" s="85"/>
      <c r="B22" s="86" t="s">
        <v>30</v>
      </c>
      <c r="C22" s="87">
        <v>35</v>
      </c>
      <c r="D22" s="88" t="s">
        <v>32</v>
      </c>
      <c r="E22" s="109">
        <v>200</v>
      </c>
      <c r="F22" s="90">
        <v>9.82</v>
      </c>
      <c r="G22" s="91">
        <f>97</f>
        <v>97</v>
      </c>
      <c r="H22" s="91">
        <f>0.68</f>
        <v>0.68</v>
      </c>
      <c r="I22" s="91">
        <f>0.28</f>
        <v>0.28000000000000003</v>
      </c>
      <c r="J22" s="92">
        <f>19.64</f>
        <v>19.64</v>
      </c>
    </row>
    <row r="23" spans="1:10" ht="45" x14ac:dyDescent="0.25">
      <c r="A23" s="85"/>
      <c r="B23" s="86" t="s">
        <v>20</v>
      </c>
      <c r="C23" s="87" t="s">
        <v>24</v>
      </c>
      <c r="D23" s="88" t="s">
        <v>31</v>
      </c>
      <c r="E23" s="109" t="s">
        <v>65</v>
      </c>
      <c r="F23" s="90">
        <v>1.9</v>
      </c>
      <c r="G23" s="91">
        <f>62.4*28/30</f>
        <v>58.24</v>
      </c>
      <c r="H23" s="91">
        <f>2.4*28/30</f>
        <v>2.2400000000000002</v>
      </c>
      <c r="I23" s="91">
        <f>0.45*28/30</f>
        <v>0.42</v>
      </c>
      <c r="J23" s="92">
        <f>11.37*28/30</f>
        <v>10.611999999999998</v>
      </c>
    </row>
    <row r="24" spans="1:10" ht="30" x14ac:dyDescent="0.25">
      <c r="A24" s="85"/>
      <c r="B24" s="110" t="s">
        <v>18</v>
      </c>
      <c r="C24" s="95" t="s">
        <v>24</v>
      </c>
      <c r="D24" s="96" t="s">
        <v>25</v>
      </c>
      <c r="E24" s="111" t="s">
        <v>65</v>
      </c>
      <c r="F24" s="98">
        <f>54.17*0.027</f>
        <v>1.4625900000000001</v>
      </c>
      <c r="G24" s="99">
        <f>60*28/30</f>
        <v>56</v>
      </c>
      <c r="H24" s="99">
        <f>1.47*28/30</f>
        <v>1.3719999999999999</v>
      </c>
      <c r="I24" s="99">
        <f>0.3*28/30</f>
        <v>0.28000000000000003</v>
      </c>
      <c r="J24" s="100">
        <f>13.44*28/30</f>
        <v>12.544</v>
      </c>
    </row>
    <row r="25" spans="1:10" ht="15.75" thickBot="1" x14ac:dyDescent="0.3">
      <c r="A25" s="112"/>
      <c r="B25" s="113"/>
      <c r="C25" s="114"/>
      <c r="D25" s="114"/>
      <c r="E25" s="115"/>
      <c r="F25" s="116">
        <f>SUM(F18:F24)</f>
        <v>89.997078492063508</v>
      </c>
      <c r="G25" s="117">
        <f>SUM(G19:G24)</f>
        <v>503.04555555555555</v>
      </c>
      <c r="H25" s="117">
        <f>SUM(H19:H24)</f>
        <v>19.486444444444444</v>
      </c>
      <c r="I25" s="117">
        <f>SUM(I19:I24)</f>
        <v>11.034666666666665</v>
      </c>
      <c r="J25" s="118">
        <f>SUM(J19:J24)</f>
        <v>73.908666666666662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2021-08-31T11:03:39Z</cp:lastPrinted>
  <dcterms:created xsi:type="dcterms:W3CDTF">2015-06-05T18:19:34Z</dcterms:created>
  <dcterms:modified xsi:type="dcterms:W3CDTF">2021-09-02T02:22:44Z</dcterms:modified>
</cp:coreProperties>
</file>