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145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J47" i="1" l="1"/>
  <c r="I47" i="1"/>
  <c r="H47" i="1"/>
  <c r="G47" i="1"/>
  <c r="J46" i="1"/>
  <c r="I46" i="1"/>
  <c r="H46" i="1"/>
  <c r="G46" i="1"/>
  <c r="F46" i="1"/>
  <c r="J45" i="1"/>
  <c r="I45" i="1"/>
  <c r="H45" i="1"/>
  <c r="G45" i="1"/>
  <c r="J44" i="1"/>
  <c r="I44" i="1"/>
  <c r="H44" i="1"/>
  <c r="G44" i="1"/>
  <c r="F44" i="1"/>
  <c r="J43" i="1"/>
  <c r="I43" i="1"/>
  <c r="H43" i="1"/>
  <c r="G43" i="1"/>
  <c r="J42" i="1"/>
  <c r="I42" i="1"/>
  <c r="H42" i="1"/>
  <c r="G42" i="1"/>
  <c r="F42" i="1"/>
  <c r="J41" i="1"/>
  <c r="I41" i="1"/>
  <c r="H41" i="1"/>
  <c r="G41" i="1"/>
  <c r="J40" i="1"/>
  <c r="J48" i="1" s="1"/>
  <c r="I40" i="1"/>
  <c r="I48" i="1" s="1"/>
  <c r="H40" i="1"/>
  <c r="H48" i="1" s="1"/>
  <c r="G40" i="1"/>
  <c r="G48" i="1" s="1"/>
  <c r="F40" i="1"/>
  <c r="F48" i="1" s="1"/>
  <c r="F39" i="1"/>
  <c r="J38" i="1"/>
  <c r="J39" i="1" s="1"/>
  <c r="I38" i="1"/>
  <c r="I39" i="1" s="1"/>
  <c r="H38" i="1"/>
  <c r="H39" i="1" s="1"/>
  <c r="G38" i="1"/>
  <c r="G39" i="1" s="1"/>
  <c r="J35" i="1"/>
  <c r="I35" i="1"/>
  <c r="H35" i="1"/>
  <c r="G35" i="1"/>
  <c r="F35" i="1"/>
  <c r="J34" i="1"/>
  <c r="I34" i="1"/>
  <c r="H34" i="1"/>
  <c r="G34" i="1"/>
  <c r="J33" i="1"/>
  <c r="I33" i="1"/>
  <c r="H33" i="1"/>
  <c r="G33" i="1"/>
  <c r="J32" i="1"/>
  <c r="J36" i="1" s="1"/>
  <c r="I32" i="1"/>
  <c r="I36" i="1" s="1"/>
  <c r="H32" i="1"/>
  <c r="H36" i="1" s="1"/>
  <c r="G32" i="1"/>
  <c r="G36" i="1" s="1"/>
  <c r="F32" i="1"/>
  <c r="F36" i="1" s="1"/>
  <c r="F16" i="1" l="1"/>
  <c r="J21" i="1" l="1"/>
  <c r="I21" i="1"/>
  <c r="H21" i="1"/>
  <c r="G21" i="1"/>
  <c r="J20" i="1"/>
  <c r="I20" i="1"/>
  <c r="H20" i="1"/>
  <c r="G20" i="1"/>
  <c r="J16" i="1"/>
  <c r="I16" i="1"/>
  <c r="H16" i="1"/>
  <c r="G16" i="1"/>
  <c r="J14" i="1"/>
  <c r="I14" i="1"/>
  <c r="H14" i="1"/>
  <c r="G14" i="1"/>
  <c r="J9" i="1"/>
  <c r="I9" i="1"/>
  <c r="H9" i="1"/>
  <c r="G9" i="1"/>
  <c r="F21" i="1"/>
  <c r="F14" i="1"/>
  <c r="F6" i="1"/>
  <c r="F7" i="1"/>
  <c r="F9" i="1"/>
  <c r="J19" i="1" l="1"/>
  <c r="I19" i="1"/>
  <c r="H19" i="1"/>
  <c r="G19" i="1"/>
  <c r="J18" i="1"/>
  <c r="I18" i="1"/>
  <c r="H18" i="1"/>
  <c r="G18" i="1"/>
  <c r="J17" i="1"/>
  <c r="I17" i="1"/>
  <c r="H17" i="1"/>
  <c r="G17" i="1"/>
  <c r="J15" i="1"/>
  <c r="J22" i="1" s="1"/>
  <c r="I15" i="1"/>
  <c r="I22" i="1" s="1"/>
  <c r="H15" i="1"/>
  <c r="H22" i="1" s="1"/>
  <c r="G15" i="1"/>
  <c r="G22" i="1" s="1"/>
  <c r="J13" i="1"/>
  <c r="G13" i="1"/>
  <c r="J12" i="1"/>
  <c r="I12" i="1"/>
  <c r="I13" i="1" s="1"/>
  <c r="H12" i="1"/>
  <c r="H13" i="1" s="1"/>
  <c r="G12" i="1"/>
  <c r="J10" i="1"/>
  <c r="G8" i="1"/>
  <c r="J8" i="1"/>
  <c r="I8" i="1"/>
  <c r="H8" i="1"/>
  <c r="J7" i="1"/>
  <c r="I7" i="1"/>
  <c r="H7" i="1"/>
  <c r="G7" i="1"/>
  <c r="G10" i="1" s="1"/>
  <c r="G6" i="1"/>
  <c r="J6" i="1"/>
  <c r="I6" i="1"/>
  <c r="I10" i="1" s="1"/>
  <c r="H6" i="1"/>
  <c r="H10" i="1" s="1"/>
  <c r="F22" i="1"/>
  <c r="F18" i="1"/>
  <c r="F13" i="1" l="1"/>
  <c r="F10" i="1"/>
</calcChain>
</file>

<file path=xl/sharedStrings.xml><?xml version="1.0" encoding="utf-8"?>
<sst xmlns="http://schemas.openxmlformats.org/spreadsheetml/2006/main" count="114" uniqueCount="61">
  <si>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</si>
  <si>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</si>
  <si>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</si>
  <si>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</si>
  <si>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</si>
  <si>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</si>
  <si>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</si>
  <si>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</si>
  <si>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</si>
  <si>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</si>
  <si>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</si>
  <si>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</si>
  <si>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</si>
  <si>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</si>
  <si>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</si>
  <si>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</si>
  <si>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</si>
  <si>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</si>
  <si>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</si>
  <si>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</si>
  <si>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</si>
  <si>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</si>
  <si>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</si>
  <si>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</si>
  <si>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</si>
  <si>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Батон</t>
  </si>
  <si>
    <t>добавка</t>
  </si>
  <si>
    <t>Сыр (порциями)</t>
  </si>
  <si>
    <t>Полдник</t>
  </si>
  <si>
    <t>напиток</t>
  </si>
  <si>
    <t>Хлеб пшеничный</t>
  </si>
  <si>
    <t>Напиток из шиповника</t>
  </si>
  <si>
    <t>Сок</t>
  </si>
  <si>
    <t>Котлета рыбная</t>
  </si>
  <si>
    <t>6-10 лет</t>
  </si>
  <si>
    <t>Суп молочный с мак.изделиями</t>
  </si>
  <si>
    <t>Чай с сахаром и лимоном</t>
  </si>
  <si>
    <t>Фрукт</t>
  </si>
  <si>
    <t>Икра кабачковая</t>
  </si>
  <si>
    <t>Щи из свежей капусты со сметаной</t>
  </si>
  <si>
    <t>Соус сметанный с томатом</t>
  </si>
  <si>
    <t>Рис отварной с овощами</t>
  </si>
  <si>
    <t>Пицца школьная</t>
  </si>
  <si>
    <t>80/70</t>
  </si>
  <si>
    <t>250/5</t>
  </si>
  <si>
    <t>25</t>
  </si>
  <si>
    <t>корп</t>
  </si>
  <si>
    <t>Зав.производством _________________________________</t>
  </si>
  <si>
    <t>Бухгалтер калькулятор _______________________________</t>
  </si>
  <si>
    <t>90</t>
  </si>
  <si>
    <t>45</t>
  </si>
  <si>
    <t>29</t>
  </si>
  <si>
    <t>30</t>
  </si>
  <si>
    <t>МБОУ БСШ №1 имени Е.К. Зырянова</t>
  </si>
  <si>
    <t>1</t>
  </si>
  <si>
    <r>
      <t>"</t>
    </r>
    <r>
      <rPr>
        <u/>
        <sz val="11"/>
        <color theme="1"/>
        <rFont val="Calibri"/>
        <family val="2"/>
        <charset val="204"/>
        <scheme val="minor"/>
      </rPr>
      <t>_20__"_09____</t>
    </r>
    <r>
      <rPr>
        <sz val="11"/>
        <color theme="1"/>
        <rFont val="Calibri"/>
        <family val="2"/>
        <scheme val="minor"/>
      </rPr>
      <t>2021</t>
    </r>
  </si>
  <si>
    <t>11-18 лет</t>
  </si>
  <si>
    <t>65</t>
  </si>
  <si>
    <t>100</t>
  </si>
  <si>
    <t>100/80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</si>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</sst>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2" fontId="0" fillId="0" borderId="1" xfId="0" applyNumberFormat="1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Protection="1"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Protection="1"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0" fontId="2" fillId="0" borderId="0" xfId="0" applyFont="1" applyFill="1"/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8"/>
  <sheetViews>
    <sheetView tabSelected="1" topLeftCell="A10" workbookViewId="0">
      <selection activeCell="A28" sqref="A28:J48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30" bestFit="1" customWidth="1"/>
    <col min="6" max="6" width="5.42578125" style="1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52" t="s">
        <v>53</v>
      </c>
      <c r="C1" s="53"/>
      <c r="D1" s="54"/>
      <c r="E1" s="30" t="s">
        <v>46</v>
      </c>
      <c r="F1" s="29" t="s">
        <v>54</v>
      </c>
      <c r="H1" s="1" t="s">
        <v>1</v>
      </c>
      <c r="I1" s="28" t="s">
        <v>55</v>
      </c>
    </row>
    <row r="2" spans="1:10" ht="15.75" thickBot="1" x14ac:dyDescent="0.3">
      <c r="B2" s="2" t="s">
        <v>34</v>
      </c>
    </row>
    <row r="3" spans="1:10" s="36" customFormat="1" ht="30.75" thickBot="1" x14ac:dyDescent="0.3">
      <c r="A3" s="32" t="s">
        <v>2</v>
      </c>
      <c r="B3" s="33" t="s">
        <v>3</v>
      </c>
      <c r="C3" s="33" t="s">
        <v>21</v>
      </c>
      <c r="D3" s="33" t="s">
        <v>4</v>
      </c>
      <c r="E3" s="37" t="s">
        <v>22</v>
      </c>
      <c r="F3" s="37" t="s">
        <v>5</v>
      </c>
      <c r="G3" s="34" t="s">
        <v>6</v>
      </c>
      <c r="H3" s="33" t="s">
        <v>7</v>
      </c>
      <c r="I3" s="33" t="s">
        <v>8</v>
      </c>
      <c r="J3" s="35" t="s">
        <v>9</v>
      </c>
    </row>
    <row r="4" spans="1:10" ht="30" x14ac:dyDescent="0.25">
      <c r="A4" s="3" t="s">
        <v>10</v>
      </c>
      <c r="B4" s="4" t="s">
        <v>11</v>
      </c>
      <c r="C4" s="5">
        <v>53</v>
      </c>
      <c r="D4" s="6" t="s">
        <v>35</v>
      </c>
      <c r="E4" s="38">
        <v>200</v>
      </c>
      <c r="F4" s="39">
        <v>11.04</v>
      </c>
      <c r="G4" s="7">
        <v>146</v>
      </c>
      <c r="H4" s="7">
        <v>5.7</v>
      </c>
      <c r="I4" s="7">
        <v>5.28</v>
      </c>
      <c r="J4" s="8">
        <v>18.88</v>
      </c>
    </row>
    <row r="5" spans="1:10" x14ac:dyDescent="0.25">
      <c r="A5" s="9"/>
      <c r="B5" s="10" t="s">
        <v>12</v>
      </c>
      <c r="C5" s="11">
        <v>30</v>
      </c>
      <c r="D5" s="12" t="s">
        <v>36</v>
      </c>
      <c r="E5" s="40">
        <v>200</v>
      </c>
      <c r="F5" s="41">
        <v>3.31</v>
      </c>
      <c r="G5" s="13">
        <v>43</v>
      </c>
      <c r="H5" s="13">
        <v>0.06</v>
      </c>
      <c r="I5" s="13">
        <v>0.01</v>
      </c>
      <c r="J5" s="14">
        <v>10.220000000000001</v>
      </c>
    </row>
    <row r="6" spans="1:10" x14ac:dyDescent="0.25">
      <c r="A6" s="9"/>
      <c r="B6" s="10" t="s">
        <v>19</v>
      </c>
      <c r="C6" s="11" t="s">
        <v>23</v>
      </c>
      <c r="D6" s="12" t="s">
        <v>24</v>
      </c>
      <c r="E6" s="40">
        <v>27</v>
      </c>
      <c r="F6" s="41">
        <f>45.14*0.027</f>
        <v>1.21878</v>
      </c>
      <c r="G6" s="13">
        <f>40*25/20</f>
        <v>50</v>
      </c>
      <c r="H6" s="13">
        <f>0.98*25/20</f>
        <v>1.2250000000000001</v>
      </c>
      <c r="I6" s="13">
        <f>0.2*25/20</f>
        <v>0.25</v>
      </c>
      <c r="J6" s="14">
        <f>8.95*25/20</f>
        <v>11.187499999999998</v>
      </c>
    </row>
    <row r="7" spans="1:10" x14ac:dyDescent="0.25">
      <c r="A7" s="9"/>
      <c r="B7" s="15"/>
      <c r="C7" s="11" t="s">
        <v>23</v>
      </c>
      <c r="D7" s="12" t="s">
        <v>25</v>
      </c>
      <c r="E7" s="40">
        <v>29</v>
      </c>
      <c r="F7" s="41">
        <f>86.25*0.029</f>
        <v>2.5012500000000002</v>
      </c>
      <c r="G7" s="13">
        <f>41.6*26/20</f>
        <v>54.080000000000005</v>
      </c>
      <c r="H7" s="13">
        <f>1.6*26/20</f>
        <v>2.08</v>
      </c>
      <c r="I7" s="13">
        <f>0.03*26/20</f>
        <v>3.9E-2</v>
      </c>
      <c r="J7" s="14">
        <f>8.02*25/20</f>
        <v>10.025</v>
      </c>
    </row>
    <row r="8" spans="1:10" x14ac:dyDescent="0.25">
      <c r="A8" s="9"/>
      <c r="B8" s="16" t="s">
        <v>26</v>
      </c>
      <c r="C8" s="17" t="s">
        <v>23</v>
      </c>
      <c r="D8" s="18" t="s">
        <v>37</v>
      </c>
      <c r="E8" s="42">
        <v>118</v>
      </c>
      <c r="F8" s="43">
        <v>19.82</v>
      </c>
      <c r="G8" s="19">
        <f>96*1.39</f>
        <v>133.44</v>
      </c>
      <c r="H8" s="19">
        <f>1.5*1.39</f>
        <v>2.085</v>
      </c>
      <c r="I8" s="19">
        <f>0.5*1.39</f>
        <v>0.69499999999999995</v>
      </c>
      <c r="J8" s="20">
        <f>21*1.39</f>
        <v>29.189999999999998</v>
      </c>
    </row>
    <row r="9" spans="1:10" x14ac:dyDescent="0.25">
      <c r="A9" s="21"/>
      <c r="B9" s="15"/>
      <c r="C9" s="11">
        <v>6</v>
      </c>
      <c r="D9" s="12" t="s">
        <v>27</v>
      </c>
      <c r="E9" s="40">
        <v>17</v>
      </c>
      <c r="F9" s="41">
        <f>7.56*17/12</f>
        <v>10.709999999999999</v>
      </c>
      <c r="G9" s="13">
        <f>36*17/12</f>
        <v>51</v>
      </c>
      <c r="H9" s="13">
        <f>1.36*17/12</f>
        <v>1.9266666666666667</v>
      </c>
      <c r="I9" s="13">
        <f>2.76*17/12</f>
        <v>3.9099999999999997</v>
      </c>
      <c r="J9" s="13">
        <f>0.31*17/12</f>
        <v>0.43916666666666665</v>
      </c>
    </row>
    <row r="10" spans="1:10" ht="15.75" thickBot="1" x14ac:dyDescent="0.3">
      <c r="A10" s="9"/>
      <c r="B10" s="22"/>
      <c r="C10" s="23"/>
      <c r="D10" s="24"/>
      <c r="E10" s="44"/>
      <c r="F10" s="45">
        <f>SUM(F4:F9)</f>
        <v>48.600029999999997</v>
      </c>
      <c r="G10" s="25">
        <f>SUM(G4:G9)</f>
        <v>477.52</v>
      </c>
      <c r="H10" s="25">
        <f t="shared" ref="H10:J10" si="0">SUM(H4:H9)</f>
        <v>13.076666666666664</v>
      </c>
      <c r="I10" s="25">
        <f t="shared" si="0"/>
        <v>10.183999999999999</v>
      </c>
      <c r="J10" s="25">
        <f t="shared" si="0"/>
        <v>79.941666666666663</v>
      </c>
    </row>
    <row r="11" spans="1:10" x14ac:dyDescent="0.25">
      <c r="A11" s="3" t="s">
        <v>28</v>
      </c>
      <c r="B11" s="4"/>
      <c r="C11" s="5">
        <v>25</v>
      </c>
      <c r="D11" s="6" t="s">
        <v>32</v>
      </c>
      <c r="E11" s="38">
        <v>200</v>
      </c>
      <c r="F11" s="39">
        <v>9.4600000000000009</v>
      </c>
      <c r="G11" s="7">
        <v>136</v>
      </c>
      <c r="H11" s="7">
        <v>0.6</v>
      </c>
      <c r="I11" s="7">
        <v>0</v>
      </c>
      <c r="J11" s="8">
        <v>33</v>
      </c>
    </row>
    <row r="12" spans="1:10" x14ac:dyDescent="0.25">
      <c r="A12" s="21"/>
      <c r="B12" s="15"/>
      <c r="C12" s="11">
        <v>76</v>
      </c>
      <c r="D12" s="12" t="s">
        <v>42</v>
      </c>
      <c r="E12" s="40">
        <v>105</v>
      </c>
      <c r="F12" s="41">
        <v>26.98</v>
      </c>
      <c r="G12" s="13">
        <f>245*1.05</f>
        <v>257.25</v>
      </c>
      <c r="H12" s="13">
        <f>12.45*1.05</f>
        <v>13.0725</v>
      </c>
      <c r="I12" s="13">
        <f>8.59*1.05</f>
        <v>9.0195000000000007</v>
      </c>
      <c r="J12" s="14">
        <f>6.33*1.05</f>
        <v>6.6465000000000005</v>
      </c>
    </row>
    <row r="13" spans="1:10" ht="15.75" thickBot="1" x14ac:dyDescent="0.3">
      <c r="A13" s="31"/>
      <c r="B13" s="16"/>
      <c r="C13" s="17"/>
      <c r="D13" s="18"/>
      <c r="E13" s="42"/>
      <c r="F13" s="43">
        <f>SUM(F11:F12)</f>
        <v>36.44</v>
      </c>
      <c r="G13" s="19">
        <f>SUM(G11:G12)</f>
        <v>393.25</v>
      </c>
      <c r="H13" s="19">
        <f t="shared" ref="H13:J13" si="1">SUM(H11:H12)</f>
        <v>13.672499999999999</v>
      </c>
      <c r="I13" s="19">
        <f t="shared" si="1"/>
        <v>9.0195000000000007</v>
      </c>
      <c r="J13" s="19">
        <f t="shared" si="1"/>
        <v>39.646500000000003</v>
      </c>
    </row>
    <row r="14" spans="1:10" x14ac:dyDescent="0.25">
      <c r="A14" s="3" t="s">
        <v>13</v>
      </c>
      <c r="B14" s="4" t="s">
        <v>14</v>
      </c>
      <c r="C14" s="5">
        <v>27</v>
      </c>
      <c r="D14" s="6" t="s">
        <v>38</v>
      </c>
      <c r="E14" s="46" t="s">
        <v>50</v>
      </c>
      <c r="F14" s="39">
        <f>8.99*45/60</f>
        <v>6.7425000000000006</v>
      </c>
      <c r="G14" s="7">
        <f>71.4*45/60</f>
        <v>53.550000000000004</v>
      </c>
      <c r="H14" s="7">
        <f>1.14*45/60</f>
        <v>0.85499999999999998</v>
      </c>
      <c r="I14" s="7">
        <f>5.34*45/60</f>
        <v>4.0049999999999999</v>
      </c>
      <c r="J14" s="8">
        <f>4.62*45/60</f>
        <v>3.4650000000000003</v>
      </c>
    </row>
    <row r="15" spans="1:10" ht="30" x14ac:dyDescent="0.25">
      <c r="A15" s="9"/>
      <c r="B15" s="10" t="s">
        <v>15</v>
      </c>
      <c r="C15" s="11">
        <v>33</v>
      </c>
      <c r="D15" s="12" t="s">
        <v>39</v>
      </c>
      <c r="E15" s="47" t="s">
        <v>44</v>
      </c>
      <c r="F15" s="41">
        <v>5.62</v>
      </c>
      <c r="G15" s="13">
        <f>180.75</f>
        <v>180.75</v>
      </c>
      <c r="H15" s="13">
        <f>1.72</f>
        <v>1.72</v>
      </c>
      <c r="I15" s="13">
        <f>6.18</f>
        <v>6.18</v>
      </c>
      <c r="J15" s="14">
        <f>11.66</f>
        <v>11.66</v>
      </c>
    </row>
    <row r="16" spans="1:10" x14ac:dyDescent="0.25">
      <c r="A16" s="9"/>
      <c r="B16" s="10" t="s">
        <v>16</v>
      </c>
      <c r="C16" s="11">
        <v>23</v>
      </c>
      <c r="D16" s="12" t="s">
        <v>33</v>
      </c>
      <c r="E16" s="47" t="s">
        <v>49</v>
      </c>
      <c r="F16" s="41">
        <f>33.2*90/90</f>
        <v>33.200000000000003</v>
      </c>
      <c r="G16" s="13">
        <f>103*90/90</f>
        <v>103</v>
      </c>
      <c r="H16" s="13">
        <f>12.92*90/90</f>
        <v>12.92</v>
      </c>
      <c r="I16" s="13">
        <f>2.28*9/90</f>
        <v>0.22800000000000001</v>
      </c>
      <c r="J16" s="14">
        <f>8.31*90/90</f>
        <v>8.31</v>
      </c>
    </row>
    <row r="17" spans="1:10" ht="30" x14ac:dyDescent="0.25">
      <c r="A17" s="9"/>
      <c r="B17" s="10"/>
      <c r="C17" s="11">
        <v>15</v>
      </c>
      <c r="D17" s="12" t="s">
        <v>40</v>
      </c>
      <c r="E17" s="47" t="s">
        <v>45</v>
      </c>
      <c r="F17" s="41">
        <v>2.38</v>
      </c>
      <c r="G17" s="13">
        <f>21.25</f>
        <v>21.25</v>
      </c>
      <c r="H17" s="13">
        <f>0.45</f>
        <v>0.45</v>
      </c>
      <c r="I17" s="13">
        <f>1.31</f>
        <v>1.31</v>
      </c>
      <c r="J17" s="14">
        <f>1.92</f>
        <v>1.92</v>
      </c>
    </row>
    <row r="18" spans="1:10" x14ac:dyDescent="0.25">
      <c r="A18" s="9"/>
      <c r="B18" s="10" t="s">
        <v>17</v>
      </c>
      <c r="C18" s="11">
        <v>52</v>
      </c>
      <c r="D18" s="12" t="s">
        <v>41</v>
      </c>
      <c r="E18" s="47" t="s">
        <v>43</v>
      </c>
      <c r="F18" s="41">
        <f>5.42+9.51</f>
        <v>14.93</v>
      </c>
      <c r="G18" s="13">
        <f>183.25</f>
        <v>183.25</v>
      </c>
      <c r="H18" s="13">
        <f>3.35</f>
        <v>3.35</v>
      </c>
      <c r="I18" s="13">
        <f>6.98</f>
        <v>6.98</v>
      </c>
      <c r="J18" s="14">
        <f>22.19</f>
        <v>22.19</v>
      </c>
    </row>
    <row r="19" spans="1:10" x14ac:dyDescent="0.25">
      <c r="A19" s="9"/>
      <c r="B19" s="10" t="s">
        <v>29</v>
      </c>
      <c r="C19" s="11">
        <v>35</v>
      </c>
      <c r="D19" s="12" t="s">
        <v>31</v>
      </c>
      <c r="E19" s="47">
        <v>200</v>
      </c>
      <c r="F19" s="41">
        <v>7.02</v>
      </c>
      <c r="G19" s="13">
        <f>97</f>
        <v>97</v>
      </c>
      <c r="H19" s="13">
        <f>0.68</f>
        <v>0.68</v>
      </c>
      <c r="I19" s="13">
        <f>0.28</f>
        <v>0.28000000000000003</v>
      </c>
      <c r="J19" s="14">
        <f>19.64</f>
        <v>19.64</v>
      </c>
    </row>
    <row r="20" spans="1:10" x14ac:dyDescent="0.25">
      <c r="A20" s="9"/>
      <c r="B20" s="10" t="s">
        <v>20</v>
      </c>
      <c r="C20" s="11" t="s">
        <v>23</v>
      </c>
      <c r="D20" s="12" t="s">
        <v>30</v>
      </c>
      <c r="E20" s="47" t="s">
        <v>52</v>
      </c>
      <c r="F20" s="41">
        <v>1.7</v>
      </c>
      <c r="G20" s="13">
        <f>62.4*30/30</f>
        <v>62.4</v>
      </c>
      <c r="H20" s="13">
        <f>2.4*30/30</f>
        <v>2.4</v>
      </c>
      <c r="I20" s="13">
        <f>0.45*30/30</f>
        <v>0.45</v>
      </c>
      <c r="J20" s="14">
        <f>11.37*30/30</f>
        <v>11.37</v>
      </c>
    </row>
    <row r="21" spans="1:10" x14ac:dyDescent="0.25">
      <c r="A21" s="9"/>
      <c r="B21" s="26" t="s">
        <v>18</v>
      </c>
      <c r="C21" s="17" t="s">
        <v>23</v>
      </c>
      <c r="D21" s="18" t="s">
        <v>24</v>
      </c>
      <c r="E21" s="48" t="s">
        <v>51</v>
      </c>
      <c r="F21" s="43">
        <f>45.14*0.029</f>
        <v>1.3090600000000001</v>
      </c>
      <c r="G21" s="19">
        <f>60*29/30</f>
        <v>58</v>
      </c>
      <c r="H21" s="19">
        <f>1.47*29/30</f>
        <v>1.421</v>
      </c>
      <c r="I21" s="19">
        <f>0.3*29/30</f>
        <v>0.28999999999999998</v>
      </c>
      <c r="J21" s="20">
        <f>13.44*29/30</f>
        <v>12.991999999999999</v>
      </c>
    </row>
    <row r="22" spans="1:10" x14ac:dyDescent="0.25">
      <c r="A22" s="10"/>
      <c r="B22" s="15"/>
      <c r="C22" s="10"/>
      <c r="D22" s="10"/>
      <c r="E22" s="49"/>
      <c r="F22" s="50">
        <f>SUM(F14:F21)</f>
        <v>72.901560000000003</v>
      </c>
      <c r="G22" s="27">
        <f>SUM(G14:G21)</f>
        <v>759.19999999999993</v>
      </c>
      <c r="H22" s="27">
        <f t="shared" ref="H22:J22" si="2">SUM(H14:H21)</f>
        <v>23.795999999999999</v>
      </c>
      <c r="I22" s="27">
        <f t="shared" si="2"/>
        <v>19.722999999999999</v>
      </c>
      <c r="J22" s="27">
        <f t="shared" si="2"/>
        <v>91.547000000000011</v>
      </c>
    </row>
    <row r="24" spans="1:10" x14ac:dyDescent="0.25">
      <c r="A24" s="51" t="s">
        <v>47</v>
      </c>
    </row>
    <row r="26" spans="1:10" x14ac:dyDescent="0.25">
      <c r="A26" s="51" t="s">
        <v>48</v>
      </c>
    </row>
    <row r="28" spans="1:10" ht="15.75" thickBot="1" x14ac:dyDescent="0.3">
      <c r="B28" s="2" t="s">
        <v>56</v>
      </c>
      <c r="E28" s="55"/>
      <c r="F28" s="51"/>
    </row>
    <row r="29" spans="1:10" ht="30.75" thickBot="1" x14ac:dyDescent="0.3">
      <c r="A29" s="56" t="s">
        <v>2</v>
      </c>
      <c r="B29" s="57" t="s">
        <v>3</v>
      </c>
      <c r="C29" s="57" t="s">
        <v>21</v>
      </c>
      <c r="D29" s="57" t="s">
        <v>4</v>
      </c>
      <c r="E29" s="58" t="s">
        <v>22</v>
      </c>
      <c r="F29" s="58" t="s">
        <v>5</v>
      </c>
      <c r="G29" s="59" t="s">
        <v>6</v>
      </c>
      <c r="H29" s="57" t="s">
        <v>7</v>
      </c>
      <c r="I29" s="57" t="s">
        <v>8</v>
      </c>
      <c r="J29" s="60" t="s">
        <v>9</v>
      </c>
    </row>
    <row r="30" spans="1:10" ht="30" x14ac:dyDescent="0.25">
      <c r="A30" s="3" t="s">
        <v>10</v>
      </c>
      <c r="B30" s="4" t="s">
        <v>11</v>
      </c>
      <c r="C30" s="5">
        <v>53</v>
      </c>
      <c r="D30" s="6" t="s">
        <v>35</v>
      </c>
      <c r="E30" s="38">
        <v>200</v>
      </c>
      <c r="F30" s="39">
        <v>11.04</v>
      </c>
      <c r="G30" s="7">
        <v>146</v>
      </c>
      <c r="H30" s="7">
        <v>5.7</v>
      </c>
      <c r="I30" s="7">
        <v>5.28</v>
      </c>
      <c r="J30" s="8">
        <v>18.88</v>
      </c>
    </row>
    <row r="31" spans="1:10" x14ac:dyDescent="0.25">
      <c r="A31" s="9"/>
      <c r="B31" s="10" t="s">
        <v>12</v>
      </c>
      <c r="C31" s="11">
        <v>30</v>
      </c>
      <c r="D31" s="12" t="s">
        <v>36</v>
      </c>
      <c r="E31" s="40">
        <v>200</v>
      </c>
      <c r="F31" s="41">
        <v>3.31</v>
      </c>
      <c r="G31" s="13">
        <v>43</v>
      </c>
      <c r="H31" s="13">
        <v>0.06</v>
      </c>
      <c r="I31" s="13">
        <v>0.01</v>
      </c>
      <c r="J31" s="14">
        <v>10.220000000000001</v>
      </c>
    </row>
    <row r="32" spans="1:10" x14ac:dyDescent="0.25">
      <c r="A32" s="9"/>
      <c r="B32" s="10" t="s">
        <v>19</v>
      </c>
      <c r="C32" s="11" t="s">
        <v>23</v>
      </c>
      <c r="D32" s="12" t="s">
        <v>24</v>
      </c>
      <c r="E32" s="40">
        <v>33</v>
      </c>
      <c r="F32" s="41">
        <f>45.14*0.033</f>
        <v>1.4896200000000002</v>
      </c>
      <c r="G32" s="13">
        <f>40*34/20</f>
        <v>68</v>
      </c>
      <c r="H32" s="13">
        <f>0.98*34/20</f>
        <v>1.6659999999999999</v>
      </c>
      <c r="I32" s="13">
        <f>0.2*34/20</f>
        <v>0.34</v>
      </c>
      <c r="J32" s="14">
        <f>8.95*34/20</f>
        <v>15.214999999999998</v>
      </c>
    </row>
    <row r="33" spans="1:10" x14ac:dyDescent="0.25">
      <c r="A33" s="9"/>
      <c r="B33" s="15"/>
      <c r="C33" s="11" t="s">
        <v>23</v>
      </c>
      <c r="D33" s="12" t="s">
        <v>25</v>
      </c>
      <c r="E33" s="40">
        <v>34</v>
      </c>
      <c r="F33" s="41">
        <v>2.86</v>
      </c>
      <c r="G33" s="13">
        <f>41.6*35/20</f>
        <v>72.8</v>
      </c>
      <c r="H33" s="13">
        <f>1.6*35/20</f>
        <v>2.8</v>
      </c>
      <c r="I33" s="13">
        <f>0.03*35/20</f>
        <v>5.2500000000000005E-2</v>
      </c>
      <c r="J33" s="14">
        <f>8.02*35/20</f>
        <v>14.035</v>
      </c>
    </row>
    <row r="34" spans="1:10" x14ac:dyDescent="0.25">
      <c r="A34" s="9"/>
      <c r="B34" s="16" t="s">
        <v>26</v>
      </c>
      <c r="C34" s="17" t="s">
        <v>23</v>
      </c>
      <c r="D34" s="18" t="s">
        <v>37</v>
      </c>
      <c r="E34" s="42">
        <v>118</v>
      </c>
      <c r="F34" s="43">
        <v>19.82</v>
      </c>
      <c r="G34" s="19">
        <f>96*1.39</f>
        <v>133.44</v>
      </c>
      <c r="H34" s="19">
        <f>1.5*1.39</f>
        <v>2.085</v>
      </c>
      <c r="I34" s="19">
        <f>0.5*1.39</f>
        <v>0.69499999999999995</v>
      </c>
      <c r="J34" s="20">
        <f>21*1.39</f>
        <v>29.189999999999998</v>
      </c>
    </row>
    <row r="35" spans="1:10" x14ac:dyDescent="0.25">
      <c r="A35" s="21"/>
      <c r="B35" s="15"/>
      <c r="C35" s="11">
        <v>6</v>
      </c>
      <c r="D35" s="12" t="s">
        <v>27</v>
      </c>
      <c r="E35" s="40">
        <v>29</v>
      </c>
      <c r="F35" s="41">
        <f>9.3*29/15</f>
        <v>17.980000000000004</v>
      </c>
      <c r="G35" s="13">
        <f>36</f>
        <v>36</v>
      </c>
      <c r="H35" s="13">
        <f>1.36</f>
        <v>1.36</v>
      </c>
      <c r="I35" s="13">
        <f>2.76</f>
        <v>2.76</v>
      </c>
      <c r="J35" s="13">
        <f>0.31</f>
        <v>0.31</v>
      </c>
    </row>
    <row r="36" spans="1:10" ht="15.75" thickBot="1" x14ac:dyDescent="0.3">
      <c r="A36" s="9"/>
      <c r="B36" s="22"/>
      <c r="C36" s="23"/>
      <c r="D36" s="24"/>
      <c r="E36" s="44"/>
      <c r="F36" s="45">
        <f>SUM(F30:F35)</f>
        <v>56.499620000000007</v>
      </c>
      <c r="G36" s="25">
        <f>SUM(G30:G35)</f>
        <v>499.24</v>
      </c>
      <c r="H36" s="25">
        <f t="shared" ref="H36:J36" si="3">SUM(H30:H35)</f>
        <v>13.670999999999999</v>
      </c>
      <c r="I36" s="25">
        <f t="shared" si="3"/>
        <v>9.1374999999999993</v>
      </c>
      <c r="J36" s="25">
        <f t="shared" si="3"/>
        <v>87.85</v>
      </c>
    </row>
    <row r="37" spans="1:10" x14ac:dyDescent="0.25">
      <c r="A37" s="3" t="s">
        <v>28</v>
      </c>
      <c r="B37" s="4"/>
      <c r="C37" s="5">
        <v>25</v>
      </c>
      <c r="D37" s="6" t="s">
        <v>32</v>
      </c>
      <c r="E37" s="38">
        <v>200</v>
      </c>
      <c r="F37" s="39">
        <v>9.4600000000000009</v>
      </c>
      <c r="G37" s="7">
        <v>136</v>
      </c>
      <c r="H37" s="7">
        <v>0.6</v>
      </c>
      <c r="I37" s="7">
        <v>0</v>
      </c>
      <c r="J37" s="8">
        <v>33</v>
      </c>
    </row>
    <row r="38" spans="1:10" x14ac:dyDescent="0.25">
      <c r="A38" s="21"/>
      <c r="B38" s="15"/>
      <c r="C38" s="11">
        <v>76</v>
      </c>
      <c r="D38" s="12" t="s">
        <v>42</v>
      </c>
      <c r="E38" s="40">
        <v>125</v>
      </c>
      <c r="F38" s="41">
        <v>32.9</v>
      </c>
      <c r="G38" s="13">
        <f>245*1.25</f>
        <v>306.25</v>
      </c>
      <c r="H38" s="13">
        <f>12.45*1.25</f>
        <v>15.5625</v>
      </c>
      <c r="I38" s="13">
        <f>8.59*1.25</f>
        <v>10.737500000000001</v>
      </c>
      <c r="J38" s="14">
        <f>6.33*1.25</f>
        <v>7.9124999999999996</v>
      </c>
    </row>
    <row r="39" spans="1:10" ht="15.75" thickBot="1" x14ac:dyDescent="0.3">
      <c r="A39" s="31"/>
      <c r="B39" s="16"/>
      <c r="C39" s="17"/>
      <c r="D39" s="18"/>
      <c r="E39" s="42"/>
      <c r="F39" s="43">
        <f>SUM(F37:F38)</f>
        <v>42.36</v>
      </c>
      <c r="G39" s="19">
        <f>SUM(G37:G38)</f>
        <v>442.25</v>
      </c>
      <c r="H39" s="19">
        <f t="shared" ref="H39:J39" si="4">SUM(H37:H38)</f>
        <v>16.162500000000001</v>
      </c>
      <c r="I39" s="19">
        <f t="shared" si="4"/>
        <v>10.737500000000001</v>
      </c>
      <c r="J39" s="19">
        <f t="shared" si="4"/>
        <v>40.912500000000001</v>
      </c>
    </row>
    <row r="40" spans="1:10" x14ac:dyDescent="0.25">
      <c r="A40" s="3" t="s">
        <v>13</v>
      </c>
      <c r="B40" s="4" t="s">
        <v>14</v>
      </c>
      <c r="C40" s="5">
        <v>27</v>
      </c>
      <c r="D40" s="6" t="s">
        <v>38</v>
      </c>
      <c r="E40" s="46" t="s">
        <v>57</v>
      </c>
      <c r="F40" s="39">
        <f>14.98*65/100</f>
        <v>9.7370000000000001</v>
      </c>
      <c r="G40" s="7">
        <f>71.4*70/60</f>
        <v>83.3</v>
      </c>
      <c r="H40" s="7">
        <f>1.14*70/60</f>
        <v>1.3299999999999998</v>
      </c>
      <c r="I40" s="7">
        <f>5.34*70/60</f>
        <v>6.23</v>
      </c>
      <c r="J40" s="8">
        <f>4.62*70/60</f>
        <v>5.3900000000000006</v>
      </c>
    </row>
    <row r="41" spans="1:10" ht="30" x14ac:dyDescent="0.25">
      <c r="A41" s="9"/>
      <c r="B41" s="10" t="s">
        <v>15</v>
      </c>
      <c r="C41" s="11">
        <v>33</v>
      </c>
      <c r="D41" s="12" t="s">
        <v>39</v>
      </c>
      <c r="E41" s="47" t="s">
        <v>44</v>
      </c>
      <c r="F41" s="41">
        <v>5.62</v>
      </c>
      <c r="G41" s="13">
        <f>180.75</f>
        <v>180.75</v>
      </c>
      <c r="H41" s="13">
        <f>1.72</f>
        <v>1.72</v>
      </c>
      <c r="I41" s="13">
        <f>6.18</f>
        <v>6.18</v>
      </c>
      <c r="J41" s="14">
        <f>11.66</f>
        <v>11.66</v>
      </c>
    </row>
    <row r="42" spans="1:10" x14ac:dyDescent="0.25">
      <c r="A42" s="9"/>
      <c r="B42" s="10" t="s">
        <v>16</v>
      </c>
      <c r="C42" s="11">
        <v>23</v>
      </c>
      <c r="D42" s="12" t="s">
        <v>33</v>
      </c>
      <c r="E42" s="47" t="s">
        <v>58</v>
      </c>
      <c r="F42" s="41">
        <f>44.53*100/120</f>
        <v>37.108333333333334</v>
      </c>
      <c r="G42" s="13">
        <f>137.33*100/120</f>
        <v>114.44166666666668</v>
      </c>
      <c r="H42" s="13">
        <f>17.23*100/120</f>
        <v>14.358333333333333</v>
      </c>
      <c r="I42" s="13">
        <f>3.04*100/120</f>
        <v>2.5333333333333332</v>
      </c>
      <c r="J42" s="14">
        <f>11.04*100/120</f>
        <v>9.1999999999999993</v>
      </c>
    </row>
    <row r="43" spans="1:10" ht="30" x14ac:dyDescent="0.25">
      <c r="A43" s="9"/>
      <c r="B43" s="10"/>
      <c r="C43" s="11">
        <v>15</v>
      </c>
      <c r="D43" s="12" t="s">
        <v>40</v>
      </c>
      <c r="E43" s="47" t="s">
        <v>45</v>
      </c>
      <c r="F43" s="41">
        <v>2.38</v>
      </c>
      <c r="G43" s="13">
        <f>21.25</f>
        <v>21.25</v>
      </c>
      <c r="H43" s="13">
        <f>0.45</f>
        <v>0.45</v>
      </c>
      <c r="I43" s="13">
        <f>1.31</f>
        <v>1.31</v>
      </c>
      <c r="J43" s="14">
        <f>1.92</f>
        <v>1.92</v>
      </c>
    </row>
    <row r="44" spans="1:10" x14ac:dyDescent="0.25">
      <c r="A44" s="9"/>
      <c r="B44" s="10" t="s">
        <v>17</v>
      </c>
      <c r="C44" s="11">
        <v>52</v>
      </c>
      <c r="D44" s="12" t="s">
        <v>41</v>
      </c>
      <c r="E44" s="47" t="s">
        <v>59</v>
      </c>
      <c r="F44" s="41">
        <f>6.67*100/96+12.91*80/84</f>
        <v>19.243154761904762</v>
      </c>
      <c r="G44" s="13">
        <f>183.25*170/150</f>
        <v>207.68333333333334</v>
      </c>
      <c r="H44" s="13">
        <f>3.35*170/150</f>
        <v>3.7966666666666669</v>
      </c>
      <c r="I44" s="13">
        <f>6.98*170/150</f>
        <v>7.9106666666666676</v>
      </c>
      <c r="J44" s="14">
        <f>22.19*170/150</f>
        <v>25.148666666666667</v>
      </c>
    </row>
    <row r="45" spans="1:10" x14ac:dyDescent="0.25">
      <c r="A45" s="9"/>
      <c r="B45" s="10" t="s">
        <v>29</v>
      </c>
      <c r="C45" s="11">
        <v>35</v>
      </c>
      <c r="D45" s="12" t="s">
        <v>31</v>
      </c>
      <c r="E45" s="47">
        <v>200</v>
      </c>
      <c r="F45" s="41">
        <v>7.02</v>
      </c>
      <c r="G45" s="13">
        <f>97</f>
        <v>97</v>
      </c>
      <c r="H45" s="13">
        <f>0.68</f>
        <v>0.68</v>
      </c>
      <c r="I45" s="13">
        <f>0.28</f>
        <v>0.28000000000000003</v>
      </c>
      <c r="J45" s="14">
        <f>19.64</f>
        <v>19.64</v>
      </c>
    </row>
    <row r="46" spans="1:10" x14ac:dyDescent="0.25">
      <c r="A46" s="9"/>
      <c r="B46" s="10" t="s">
        <v>20</v>
      </c>
      <c r="C46" s="11" t="s">
        <v>23</v>
      </c>
      <c r="D46" s="12" t="s">
        <v>30</v>
      </c>
      <c r="E46" s="47" t="s">
        <v>60</v>
      </c>
      <c r="F46" s="41">
        <f>58.5*0.035</f>
        <v>2.0475000000000003</v>
      </c>
      <c r="G46" s="13">
        <f>62.4*35/30</f>
        <v>72.8</v>
      </c>
      <c r="H46" s="13">
        <f>2.4*35/30</f>
        <v>2.8</v>
      </c>
      <c r="I46" s="13">
        <f>0.45*35/30</f>
        <v>0.52500000000000002</v>
      </c>
      <c r="J46" s="14">
        <f>11.37*35/30</f>
        <v>13.264999999999999</v>
      </c>
    </row>
    <row r="47" spans="1:10" x14ac:dyDescent="0.25">
      <c r="A47" s="9"/>
      <c r="B47" s="26" t="s">
        <v>18</v>
      </c>
      <c r="C47" s="17" t="s">
        <v>23</v>
      </c>
      <c r="D47" s="18" t="s">
        <v>24</v>
      </c>
      <c r="E47" s="48" t="s">
        <v>60</v>
      </c>
      <c r="F47" s="43">
        <v>1.56</v>
      </c>
      <c r="G47" s="19">
        <f>60*34/30</f>
        <v>68</v>
      </c>
      <c r="H47" s="19">
        <f>1.47*34/30</f>
        <v>1.6659999999999999</v>
      </c>
      <c r="I47" s="19">
        <f>0.3*34/30</f>
        <v>0.33999999999999997</v>
      </c>
      <c r="J47" s="20">
        <f>13.44*34/30</f>
        <v>15.231999999999999</v>
      </c>
    </row>
    <row r="48" spans="1:10" x14ac:dyDescent="0.25">
      <c r="A48" s="10"/>
      <c r="B48" s="15"/>
      <c r="C48" s="10"/>
      <c r="D48" s="10"/>
      <c r="E48" s="49"/>
      <c r="F48" s="50">
        <f>SUM(F40:F47)</f>
        <v>84.715988095238089</v>
      </c>
      <c r="G48" s="27">
        <f>SUM(G40:G47)</f>
        <v>845.22499999999991</v>
      </c>
      <c r="H48" s="27">
        <f t="shared" ref="H48:J48" si="5">SUM(H40:H47)</f>
        <v>26.800999999999998</v>
      </c>
      <c r="I48" s="27">
        <f t="shared" si="5"/>
        <v>25.309000000000001</v>
      </c>
      <c r="J48" s="27">
        <f t="shared" si="5"/>
        <v>101.45566666666667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2021-08-31T11:31:57Z</cp:lastPrinted>
  <dcterms:created xsi:type="dcterms:W3CDTF">2015-06-05T18:19:34Z</dcterms:created>
  <dcterms:modified xsi:type="dcterms:W3CDTF">2021-09-20T01:01:00Z</dcterms:modified>
</cp:coreProperties>
</file>